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325"/>
  </bookViews>
  <sheets>
    <sheet name="Tabelle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H49" i="1"/>
  <c r="I48" i="1"/>
  <c r="H48" i="1"/>
  <c r="I47" i="1"/>
  <c r="H47" i="1"/>
  <c r="I45" i="1"/>
  <c r="H45" i="1"/>
  <c r="I44" i="1"/>
  <c r="H44" i="1"/>
  <c r="J42" i="1"/>
  <c r="H42" i="1"/>
  <c r="J41" i="1"/>
  <c r="H41" i="1"/>
  <c r="J40" i="1"/>
  <c r="H40" i="1"/>
  <c r="H38" i="1"/>
  <c r="C38" i="1"/>
  <c r="H37" i="1"/>
  <c r="H36" i="1"/>
  <c r="H35" i="1"/>
  <c r="H34" i="1"/>
  <c r="H32" i="1"/>
  <c r="C32" i="1"/>
  <c r="H31" i="1"/>
  <c r="H30" i="1"/>
  <c r="I28" i="1"/>
  <c r="H28" i="1"/>
  <c r="H27" i="1"/>
  <c r="E27" i="1"/>
  <c r="I26" i="1"/>
  <c r="H26" i="1"/>
  <c r="I25" i="1"/>
  <c r="H25" i="1"/>
  <c r="H24" i="1"/>
  <c r="H23" i="1"/>
  <c r="J21" i="1"/>
  <c r="I21" i="1"/>
  <c r="H21" i="1"/>
  <c r="I20" i="1"/>
  <c r="H20" i="1"/>
  <c r="I19" i="1"/>
  <c r="H19" i="1"/>
  <c r="K18" i="1"/>
  <c r="J18" i="1"/>
  <c r="I18" i="1"/>
  <c r="H18" i="1"/>
  <c r="K17" i="1"/>
  <c r="J17" i="1"/>
  <c r="I17" i="1"/>
  <c r="H17" i="1"/>
  <c r="I16" i="1"/>
  <c r="H16" i="1"/>
  <c r="H14" i="1"/>
  <c r="H13" i="1"/>
  <c r="H12" i="1"/>
  <c r="H11" i="1"/>
  <c r="J10" i="1"/>
  <c r="H10" i="1"/>
  <c r="J9" i="1"/>
  <c r="H9" i="1"/>
  <c r="J8" i="1"/>
  <c r="H8" i="1"/>
  <c r="J7" i="1"/>
  <c r="H7" i="1"/>
  <c r="J6" i="1"/>
  <c r="H6" i="1"/>
  <c r="D48" i="1" l="1"/>
  <c r="D47" i="1"/>
  <c r="D45" i="1"/>
  <c r="D44" i="1"/>
  <c r="E42" i="1"/>
  <c r="E41" i="1"/>
  <c r="E40" i="1"/>
  <c r="E28" i="1"/>
  <c r="D21" i="1"/>
  <c r="D20" i="1"/>
  <c r="D19" i="1"/>
  <c r="D18" i="1"/>
  <c r="D17" i="1"/>
  <c r="D16" i="1"/>
  <c r="D10" i="1"/>
  <c r="D9" i="1"/>
  <c r="D8" i="1"/>
  <c r="D7" i="1"/>
  <c r="E26" i="1"/>
  <c r="C49" i="1"/>
  <c r="C48" i="1"/>
  <c r="C47" i="1"/>
  <c r="C45" i="1"/>
  <c r="C44" i="1"/>
  <c r="C42" i="1"/>
  <c r="C41" i="1"/>
  <c r="C40" i="1"/>
  <c r="C37" i="1"/>
  <c r="C35" i="1"/>
  <c r="C30" i="1"/>
  <c r="C28" i="1"/>
  <c r="C24" i="1"/>
  <c r="C21" i="1"/>
  <c r="C20" i="1"/>
  <c r="C19" i="1"/>
  <c r="C18" i="1"/>
  <c r="C17" i="1"/>
  <c r="C16" i="1"/>
  <c r="C13" i="1"/>
  <c r="C11" i="1"/>
  <c r="C10" i="1"/>
  <c r="C8" i="1"/>
  <c r="C36" i="1"/>
  <c r="C34" i="1"/>
  <c r="C31" i="1"/>
  <c r="C26" i="1"/>
  <c r="C25" i="1"/>
  <c r="C23" i="1"/>
  <c r="E21" i="1"/>
  <c r="E18" i="1"/>
  <c r="E17" i="1"/>
  <c r="C14" i="1"/>
  <c r="C12" i="1"/>
  <c r="D6" i="1"/>
  <c r="C9" i="1"/>
  <c r="C7" i="1"/>
  <c r="C6" i="1"/>
  <c r="E25" i="1"/>
  <c r="F18" i="1"/>
  <c r="F17" i="1"/>
</calcChain>
</file>

<file path=xl/sharedStrings.xml><?xml version="1.0" encoding="utf-8"?>
<sst xmlns="http://schemas.openxmlformats.org/spreadsheetml/2006/main" count="225" uniqueCount="140">
  <si>
    <t>BikeFormel</t>
  </si>
  <si>
    <t>Gewicht in Kg</t>
  </si>
  <si>
    <t>Durchschnittliche Herzfrequenz über 20 Minuten All-out Bike</t>
  </si>
  <si>
    <t>4min</t>
  </si>
  <si>
    <t>20min</t>
  </si>
  <si>
    <t>60min</t>
  </si>
  <si>
    <t>Grundlagentraining</t>
  </si>
  <si>
    <t>Dauer in Std.</t>
  </si>
  <si>
    <t>Watt-Grundlage</t>
  </si>
  <si>
    <t>Watt-Set</t>
  </si>
  <si>
    <t>Kadenz</t>
  </si>
  <si>
    <t>Puls</t>
  </si>
  <si>
    <t>Rep.</t>
  </si>
  <si>
    <t>Pause</t>
  </si>
  <si>
    <t>LongSlowTL-Bike</t>
  </si>
  <si>
    <t xml:space="preserve">4-5, inkl. 3 x 20min Hill, 55 Knz, 12 min Pause </t>
  </si>
  <si>
    <t>80-90</t>
  </si>
  <si>
    <t>keine</t>
  </si>
  <si>
    <t>LongMediumTL-Bike</t>
  </si>
  <si>
    <t xml:space="preserve">3-4, inkl. 5x 8 Min flach, 85 Knz, mit 2 Min Pause </t>
  </si>
  <si>
    <t>LongFastTL-Bike</t>
  </si>
  <si>
    <t>2-3, inkl. 5x 5 Min, flach mit 125 knz,  5 Min Pause</t>
  </si>
  <si>
    <t>85-95</t>
  </si>
  <si>
    <t>MediumFastTL-Bike</t>
  </si>
  <si>
    <t>2, inkl. 10x 2 Min mit 60s Pause</t>
  </si>
  <si>
    <t>90-95</t>
  </si>
  <si>
    <t>ShortFastTL-Bike</t>
  </si>
  <si>
    <t>1, inkl. 10 x 1min mit 1 Min Pause</t>
  </si>
  <si>
    <t>95+</t>
  </si>
  <si>
    <t>1 bis 2</t>
  </si>
  <si>
    <t>RaceTrainingIronman</t>
  </si>
  <si>
    <t>150km</t>
  </si>
  <si>
    <t>75-85</t>
  </si>
  <si>
    <t>Keine</t>
  </si>
  <si>
    <t>RaceTraining70,3</t>
  </si>
  <si>
    <t>90km</t>
  </si>
  <si>
    <t>Back to Back to Back</t>
  </si>
  <si>
    <t>6h/6h/6h</t>
  </si>
  <si>
    <t>Back to Back</t>
  </si>
  <si>
    <t>5h/5h</t>
  </si>
  <si>
    <t>Laktattraining</t>
  </si>
  <si>
    <t>Dauer in Sek.</t>
  </si>
  <si>
    <t>Watt</t>
  </si>
  <si>
    <t>Herzleistung Laktattoleranz 1</t>
  </si>
  <si>
    <t>60s/60s</t>
  </si>
  <si>
    <t>85/75</t>
  </si>
  <si>
    <t>10 bis 20</t>
  </si>
  <si>
    <t>Herzleistung Laktattoleranz 2</t>
  </si>
  <si>
    <t>240s/120s/60s/60s</t>
  </si>
  <si>
    <t>75/85/95/105</t>
  </si>
  <si>
    <t>4 bis 8</t>
  </si>
  <si>
    <t>Herzleistung Laktattoleranz 3</t>
  </si>
  <si>
    <t xml:space="preserve">in den 240s 4x 7s-Sprint </t>
  </si>
  <si>
    <t>Herzleistung Laktatabbau 1</t>
  </si>
  <si>
    <t>40s/20s</t>
  </si>
  <si>
    <t>100/90</t>
  </si>
  <si>
    <t>20 bis 30</t>
  </si>
  <si>
    <t>Herzleistung Laktatabbau 2</t>
  </si>
  <si>
    <t>40s/20s die 20s in Aeroposition</t>
  </si>
  <si>
    <t>105/115</t>
  </si>
  <si>
    <r>
      <rPr>
        <sz val="7"/>
        <color theme="1"/>
        <rFont val="Calibri"/>
        <family val="2"/>
        <scheme val="minor"/>
      </rPr>
      <t>Herzleistung Laktatabbau 3</t>
    </r>
  </si>
  <si>
    <t>30s/60s/150s</t>
  </si>
  <si>
    <t>60/90/105</t>
  </si>
  <si>
    <t>6 bis 10</t>
  </si>
  <si>
    <t>Koordinationstraining</t>
  </si>
  <si>
    <t>Dauer in Min.</t>
  </si>
  <si>
    <t>Koordination/Technik 1</t>
  </si>
  <si>
    <t>3 bis 6</t>
  </si>
  <si>
    <t>60s</t>
  </si>
  <si>
    <t>Koordination/Technik 2</t>
  </si>
  <si>
    <t>6</t>
  </si>
  <si>
    <t>Koordination/Technik 3</t>
  </si>
  <si>
    <t>4/4</t>
  </si>
  <si>
    <t>Koordination/Technik/Motorik 1</t>
  </si>
  <si>
    <t>5/5</t>
  </si>
  <si>
    <t>Koordination/Technik/Motorik 2</t>
  </si>
  <si>
    <t>30 minuten mit SweetSpot-Puls von 50er-120er Kadenz</t>
  </si>
  <si>
    <t>Sweetspot-Heart-Rate</t>
  </si>
  <si>
    <t>50-120</t>
  </si>
  <si>
    <t>none</t>
  </si>
  <si>
    <t>Koordination/Technik/Motorik 3</t>
  </si>
  <si>
    <t>2/2 linkes-rechtes Bein</t>
  </si>
  <si>
    <t xml:space="preserve"> VO2max-Training</t>
  </si>
  <si>
    <t>Dauer in Sek .</t>
  </si>
  <si>
    <t>Sauerstoffaufnahme VO2max 1</t>
  </si>
  <si>
    <t>30s</t>
  </si>
  <si>
    <t>5min</t>
  </si>
  <si>
    <t>Sauerstoffaufnahme VO2max 2</t>
  </si>
  <si>
    <t>15s</t>
  </si>
  <si>
    <t>12 bis 18</t>
  </si>
  <si>
    <t>3min</t>
  </si>
  <si>
    <t>Sauerstoffaufnahme VO2max 3</t>
  </si>
  <si>
    <t>4 Minuten</t>
  </si>
  <si>
    <t>3 bis 4</t>
  </si>
  <si>
    <t>6min</t>
  </si>
  <si>
    <t>Kraftausdauertraining</t>
  </si>
  <si>
    <t>Intensive Kraftausdauer Berg 1</t>
  </si>
  <si>
    <t>65 standing</t>
  </si>
  <si>
    <t>8 bis 12</t>
  </si>
  <si>
    <t>Intensive Kraftausdauer Berg 2</t>
  </si>
  <si>
    <t>55</t>
  </si>
  <si>
    <t>2 bis 4</t>
  </si>
  <si>
    <t>Intensive Kraftausdauer Fläche 1</t>
  </si>
  <si>
    <t>90 Aero-position</t>
  </si>
  <si>
    <t>Intensive Kraftausdauer Fläche 2</t>
  </si>
  <si>
    <t>IntensiveKraftausdauer, 4Watt/kg</t>
  </si>
  <si>
    <t>4 Watt pro Kg Körpergewicht bis du ZielPuls erreicht hast, Pause 120s, bis du Total 20-40 Min erreicht hast</t>
  </si>
  <si>
    <t>85</t>
  </si>
  <si>
    <t>20-40 min</t>
  </si>
  <si>
    <t>120s</t>
  </si>
  <si>
    <t>Motoriktraining</t>
  </si>
  <si>
    <t>Kraft-360-Hometrainer</t>
  </si>
  <si>
    <t>2 /2 min, die ersten 2 Minuten freihändig, die zweiten 2 Minunten in Aeroposition</t>
  </si>
  <si>
    <t>65</t>
  </si>
  <si>
    <t>65 Aeroposition</t>
  </si>
  <si>
    <t>6 bis 12</t>
  </si>
  <si>
    <t>Kraftblock Motorik/Wechsel Berg 1</t>
  </si>
  <si>
    <t>5/5min</t>
  </si>
  <si>
    <t>50</t>
  </si>
  <si>
    <t>4 bis 6</t>
  </si>
  <si>
    <t>Kraftblock Motorik/Wechsel Fläche 1</t>
  </si>
  <si>
    <t>95</t>
  </si>
  <si>
    <t>FatSpotTraining</t>
  </si>
  <si>
    <t>Stamina Race</t>
  </si>
  <si>
    <t>14-6 x 60s Spint am Berg, 60s Pause + 90 min flach Laktatschwelle</t>
  </si>
  <si>
    <t>14-6/90-30min</t>
  </si>
  <si>
    <t>Endurance Race</t>
  </si>
  <si>
    <t>90-30 min x 120er Kadenz, 6 x 8min 45er Kadenz, Fläche</t>
  </si>
  <si>
    <t>90-60min/6-3</t>
  </si>
  <si>
    <t>Spezifisches Training</t>
  </si>
  <si>
    <t>40 x 7</t>
  </si>
  <si>
    <t>RecovSpeedBike, 2 Std., alle 3min ein 7s-Sprint</t>
  </si>
  <si>
    <t>20 x 15</t>
  </si>
  <si>
    <t>RecovSpeedBike, 2 Std., alle 6min ein 15s-Sprint</t>
  </si>
  <si>
    <t>SpeedTraining</t>
  </si>
  <si>
    <t>SpeedKraftTraining, 10-6 x 1km ca. 3% Gefälle</t>
  </si>
  <si>
    <t>10 bis 6</t>
  </si>
  <si>
    <t>8min</t>
  </si>
  <si>
    <t xml:space="preserve">Durchschnittliche Watt über 4 Minuten All-out Bike, trage Leistung in das Feld "4 Minuten" </t>
  </si>
  <si>
    <r>
      <rPr>
        <b/>
        <sz val="11"/>
        <color theme="1"/>
        <rFont val="Calibri"/>
        <family val="2"/>
        <scheme val="minor"/>
      </rPr>
      <t>Feld</t>
    </r>
    <r>
      <rPr>
        <sz val="11"/>
        <color theme="1"/>
        <rFont val="Calibri"/>
        <family val="2"/>
        <scheme val="minor"/>
      </rPr>
      <t xml:space="preserve">, C3, F2 und G2 ist ohne Blattschutz.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</si>
</sst>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General"/>
    <numFmt numFmtId="165" formatCode="[$-809]#,##0"/>
    <numFmt numFmtId="166" formatCode="[$-809]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7"/>
      <color rgb="FF000000"/>
      <name val="Calibri"/>
      <family val="2"/>
    </font>
    <font>
      <b/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rgb="FFFAC090"/>
      </patternFill>
    </fill>
    <fill>
      <patternFill patternType="solid">
        <fgColor rgb="FFFDEADA"/>
        <bgColor rgb="FFFDEADA"/>
      </patternFill>
    </fill>
    <fill>
      <patternFill patternType="solid">
        <fgColor theme="9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DEADA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 style="hair">
        <color indexed="64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auto="1"/>
      </right>
      <top/>
      <bottom style="hair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/>
  </cellStyleXfs>
  <cellXfs count="22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/>
    <xf numFmtId="0" fontId="4" fillId="0" borderId="0" xfId="0" applyFont="1" applyAlignment="1">
      <alignment horizontal="center"/>
    </xf>
    <xf numFmtId="164" fontId="6" fillId="0" borderId="0" xfId="1" applyFont="1" applyBorder="1" applyAlignment="1">
      <alignment horizontal="left" vertical="center"/>
    </xf>
    <xf numFmtId="164" fontId="7" fillId="0" borderId="0" xfId="1" applyFont="1" applyBorder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164" fontId="6" fillId="0" borderId="1" xfId="1" applyFont="1" applyFill="1" applyBorder="1" applyAlignment="1">
      <alignment horizontal="left" vertical="center" wrapText="1"/>
    </xf>
    <xf numFmtId="164" fontId="6" fillId="0" borderId="2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164" fontId="9" fillId="0" borderId="6" xfId="1" applyFont="1" applyFill="1" applyBorder="1" applyAlignment="1">
      <alignment horizontal="left" vertical="center" wrapText="1"/>
    </xf>
    <xf numFmtId="164" fontId="9" fillId="0" borderId="0" xfId="1" applyFont="1" applyFill="1" applyBorder="1" applyAlignment="1">
      <alignment vertical="center" wrapText="1"/>
    </xf>
    <xf numFmtId="164" fontId="9" fillId="0" borderId="6" xfId="1" applyFont="1" applyFill="1" applyBorder="1" applyAlignment="1">
      <alignment vertical="center" wrapText="1"/>
    </xf>
    <xf numFmtId="164" fontId="10" fillId="4" borderId="7" xfId="1" applyFont="1" applyFill="1" applyBorder="1" applyAlignment="1">
      <alignment horizontal="left" vertical="center"/>
    </xf>
    <xf numFmtId="164" fontId="10" fillId="4" borderId="8" xfId="1" applyFont="1" applyFill="1" applyBorder="1" applyAlignment="1">
      <alignment horizontal="left" vertical="center"/>
    </xf>
    <xf numFmtId="164" fontId="10" fillId="4" borderId="1" xfId="1" applyFont="1" applyFill="1" applyBorder="1" applyAlignment="1">
      <alignment horizontal="center" vertical="center"/>
    </xf>
    <xf numFmtId="164" fontId="10" fillId="4" borderId="9" xfId="1" applyFont="1" applyFill="1" applyBorder="1" applyAlignment="1">
      <alignment horizontal="center" vertical="center"/>
    </xf>
    <xf numFmtId="164" fontId="10" fillId="4" borderId="2" xfId="1" applyFont="1" applyFill="1" applyBorder="1" applyAlignment="1">
      <alignment horizontal="center" vertical="center"/>
    </xf>
    <xf numFmtId="164" fontId="10" fillId="4" borderId="9" xfId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164" fontId="11" fillId="5" borderId="9" xfId="1" applyFont="1" applyFill="1" applyBorder="1" applyAlignment="1">
      <alignment horizontal="center" vertical="center"/>
    </xf>
    <xf numFmtId="164" fontId="11" fillId="5" borderId="2" xfId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164" fontId="10" fillId="4" borderId="11" xfId="1" applyFont="1" applyFill="1" applyBorder="1" applyAlignment="1">
      <alignment vertical="center"/>
    </xf>
    <xf numFmtId="164" fontId="7" fillId="0" borderId="0" xfId="1" applyFont="1"/>
    <xf numFmtId="164" fontId="13" fillId="0" borderId="12" xfId="1" applyFont="1" applyBorder="1" applyAlignment="1">
      <alignment horizontal="left" vertical="center"/>
    </xf>
    <xf numFmtId="49" fontId="13" fillId="0" borderId="13" xfId="1" applyNumberFormat="1" applyFont="1" applyBorder="1" applyAlignment="1">
      <alignment horizontal="left" vertical="center"/>
    </xf>
    <xf numFmtId="165" fontId="13" fillId="4" borderId="14" xfId="1" applyNumberFormat="1" applyFont="1" applyFill="1" applyBorder="1" applyAlignment="1">
      <alignment vertical="center"/>
    </xf>
    <xf numFmtId="165" fontId="13" fillId="4" borderId="15" xfId="1" applyNumberFormat="1" applyFont="1" applyFill="1" applyBorder="1" applyAlignment="1">
      <alignment horizontal="center" vertical="center"/>
    </xf>
    <xf numFmtId="165" fontId="13" fillId="4" borderId="16" xfId="1" applyNumberFormat="1" applyFont="1" applyFill="1" applyBorder="1" applyAlignment="1">
      <alignment horizontal="center" vertical="center"/>
    </xf>
    <xf numFmtId="165" fontId="13" fillId="4" borderId="17" xfId="1" applyNumberFormat="1" applyFont="1" applyFill="1" applyBorder="1" applyAlignment="1">
      <alignment horizontal="center" vertical="center"/>
    </xf>
    <xf numFmtId="165" fontId="13" fillId="0" borderId="18" xfId="1" applyNumberFormat="1" applyFont="1" applyBorder="1" applyAlignment="1">
      <alignment horizontal="center" vertical="center"/>
    </xf>
    <xf numFmtId="165" fontId="14" fillId="2" borderId="19" xfId="1" applyNumberFormat="1" applyFont="1" applyFill="1" applyBorder="1" applyAlignment="1">
      <alignment horizontal="center" vertical="center"/>
    </xf>
    <xf numFmtId="1" fontId="14" fillId="0" borderId="13" xfId="1" applyNumberFormat="1" applyFont="1" applyBorder="1" applyAlignment="1">
      <alignment horizontal="left" vertical="center"/>
    </xf>
    <xf numFmtId="164" fontId="13" fillId="0" borderId="20" xfId="1" applyFont="1" applyBorder="1" applyAlignment="1">
      <alignment vertical="center"/>
    </xf>
    <xf numFmtId="164" fontId="13" fillId="0" borderId="21" xfId="1" applyFont="1" applyBorder="1" applyAlignment="1">
      <alignment horizontal="left" vertical="center"/>
    </xf>
    <xf numFmtId="49" fontId="13" fillId="0" borderId="22" xfId="1" applyNumberFormat="1" applyFont="1" applyBorder="1" applyAlignment="1">
      <alignment horizontal="left" vertical="center"/>
    </xf>
    <xf numFmtId="165" fontId="13" fillId="4" borderId="23" xfId="1" applyNumberFormat="1" applyFont="1" applyFill="1" applyBorder="1" applyAlignment="1">
      <alignment vertical="center"/>
    </xf>
    <xf numFmtId="165" fontId="13" fillId="4" borderId="23" xfId="1" applyNumberFormat="1" applyFont="1" applyFill="1" applyBorder="1" applyAlignment="1">
      <alignment horizontal="center" vertical="center"/>
    </xf>
    <xf numFmtId="165" fontId="13" fillId="4" borderId="24" xfId="1" applyNumberFormat="1" applyFont="1" applyFill="1" applyBorder="1" applyAlignment="1">
      <alignment horizontal="center" vertical="center"/>
    </xf>
    <xf numFmtId="165" fontId="13" fillId="4" borderId="25" xfId="1" applyNumberFormat="1" applyFont="1" applyFill="1" applyBorder="1" applyAlignment="1">
      <alignment horizontal="center" vertical="center"/>
    </xf>
    <xf numFmtId="165" fontId="13" fillId="0" borderId="23" xfId="1" applyNumberFormat="1" applyFont="1" applyBorder="1" applyAlignment="1">
      <alignment horizontal="center" vertical="center"/>
    </xf>
    <xf numFmtId="165" fontId="14" fillId="2" borderId="26" xfId="1" applyNumberFormat="1" applyFont="1" applyFill="1" applyBorder="1" applyAlignment="1">
      <alignment horizontal="center" vertical="center"/>
    </xf>
    <xf numFmtId="1" fontId="14" fillId="0" borderId="22" xfId="1" applyNumberFormat="1" applyFont="1" applyBorder="1" applyAlignment="1">
      <alignment horizontal="left" vertical="center"/>
    </xf>
    <xf numFmtId="165" fontId="13" fillId="4" borderId="22" xfId="1" applyNumberFormat="1" applyFont="1" applyFill="1" applyBorder="1" applyAlignment="1">
      <alignment vertical="center"/>
    </xf>
    <xf numFmtId="164" fontId="13" fillId="0" borderId="27" xfId="1" applyFont="1" applyBorder="1" applyAlignment="1">
      <alignment horizontal="left" vertical="center"/>
    </xf>
    <xf numFmtId="165" fontId="14" fillId="2" borderId="28" xfId="1" applyNumberFormat="1" applyFont="1" applyFill="1" applyBorder="1" applyAlignment="1">
      <alignment horizontal="center" vertical="center"/>
    </xf>
    <xf numFmtId="1" fontId="14" fillId="0" borderId="29" xfId="1" applyNumberFormat="1" applyFont="1" applyBorder="1" applyAlignment="1">
      <alignment horizontal="left" vertical="center"/>
    </xf>
    <xf numFmtId="164" fontId="13" fillId="0" borderId="30" xfId="1" applyFont="1" applyBorder="1" applyAlignment="1">
      <alignment horizontal="left" vertical="center"/>
    </xf>
    <xf numFmtId="49" fontId="13" fillId="0" borderId="31" xfId="1" applyNumberFormat="1" applyFont="1" applyBorder="1" applyAlignment="1">
      <alignment horizontal="left" vertical="center"/>
    </xf>
    <xf numFmtId="165" fontId="13" fillId="4" borderId="32" xfId="1" applyNumberFormat="1" applyFont="1" applyFill="1" applyBorder="1" applyAlignment="1">
      <alignment horizontal="center" vertical="center"/>
    </xf>
    <xf numFmtId="165" fontId="13" fillId="4" borderId="33" xfId="1" applyNumberFormat="1" applyFont="1" applyFill="1" applyBorder="1" applyAlignment="1">
      <alignment horizontal="center" vertical="center"/>
    </xf>
    <xf numFmtId="165" fontId="13" fillId="4" borderId="34" xfId="1" applyNumberFormat="1" applyFont="1" applyFill="1" applyBorder="1" applyAlignment="1">
      <alignment horizontal="center" vertical="center"/>
    </xf>
    <xf numFmtId="165" fontId="13" fillId="0" borderId="32" xfId="1" applyNumberFormat="1" applyFont="1" applyBorder="1" applyAlignment="1">
      <alignment horizontal="center" vertical="center"/>
    </xf>
    <xf numFmtId="165" fontId="14" fillId="2" borderId="35" xfId="1" applyNumberFormat="1" applyFont="1" applyFill="1" applyBorder="1" applyAlignment="1">
      <alignment horizontal="center" vertical="center"/>
    </xf>
    <xf numFmtId="165" fontId="14" fillId="2" borderId="36" xfId="1" applyNumberFormat="1" applyFont="1" applyFill="1" applyBorder="1" applyAlignment="1">
      <alignment horizontal="center" vertical="center"/>
    </xf>
    <xf numFmtId="165" fontId="14" fillId="2" borderId="37" xfId="1" applyNumberFormat="1" applyFont="1" applyFill="1" applyBorder="1" applyAlignment="1">
      <alignment horizontal="center" vertical="center"/>
    </xf>
    <xf numFmtId="164" fontId="13" fillId="0" borderId="38" xfId="1" applyFont="1" applyBorder="1" applyAlignment="1">
      <alignment vertical="center"/>
    </xf>
    <xf numFmtId="164" fontId="13" fillId="0" borderId="39" xfId="1" applyFont="1" applyBorder="1" applyAlignment="1">
      <alignment horizontal="left" vertical="center"/>
    </xf>
    <xf numFmtId="49" fontId="13" fillId="0" borderId="26" xfId="1" applyNumberFormat="1" applyFont="1" applyBorder="1" applyAlignment="1">
      <alignment horizontal="left" vertical="center"/>
    </xf>
    <xf numFmtId="165" fontId="13" fillId="4" borderId="40" xfId="1" applyNumberFormat="1" applyFont="1" applyFill="1" applyBorder="1" applyAlignment="1">
      <alignment horizontal="center" vertical="center"/>
    </xf>
    <xf numFmtId="165" fontId="13" fillId="4" borderId="41" xfId="1" applyNumberFormat="1" applyFont="1" applyFill="1" applyBorder="1" applyAlignment="1">
      <alignment horizontal="center" vertical="center"/>
    </xf>
    <xf numFmtId="165" fontId="13" fillId="4" borderId="42" xfId="1" applyNumberFormat="1" applyFont="1" applyFill="1" applyBorder="1" applyAlignment="1">
      <alignment horizontal="center" vertical="center"/>
    </xf>
    <xf numFmtId="165" fontId="13" fillId="0" borderId="26" xfId="1" applyNumberFormat="1" applyFont="1" applyBorder="1" applyAlignment="1">
      <alignment horizontal="center" vertical="center"/>
    </xf>
    <xf numFmtId="165" fontId="14" fillId="2" borderId="23" xfId="1" applyNumberFormat="1" applyFont="1" applyFill="1" applyBorder="1" applyAlignment="1">
      <alignment horizontal="center" vertical="center"/>
    </xf>
    <xf numFmtId="165" fontId="14" fillId="2" borderId="24" xfId="1" applyNumberFormat="1" applyFont="1" applyFill="1" applyBorder="1" applyAlignment="1">
      <alignment horizontal="center" vertical="center"/>
    </xf>
    <xf numFmtId="165" fontId="14" fillId="2" borderId="25" xfId="1" applyNumberFormat="1" applyFont="1" applyFill="1" applyBorder="1" applyAlignment="1">
      <alignment horizontal="center" vertical="center"/>
    </xf>
    <xf numFmtId="164" fontId="13" fillId="0" borderId="43" xfId="1" applyFont="1" applyBorder="1" applyAlignment="1">
      <alignment vertical="center"/>
    </xf>
    <xf numFmtId="1" fontId="14" fillId="0" borderId="0" xfId="1" applyNumberFormat="1" applyFont="1" applyBorder="1" applyAlignment="1">
      <alignment horizontal="left" vertical="center"/>
    </xf>
    <xf numFmtId="164" fontId="13" fillId="0" borderId="44" xfId="1" applyFont="1" applyBorder="1" applyAlignment="1">
      <alignment horizontal="left" vertical="center"/>
    </xf>
    <xf numFmtId="49" fontId="13" fillId="0" borderId="45" xfId="1" applyNumberFormat="1" applyFont="1" applyBorder="1" applyAlignment="1">
      <alignment horizontal="left" vertical="center"/>
    </xf>
    <xf numFmtId="165" fontId="13" fillId="4" borderId="46" xfId="1" applyNumberFormat="1" applyFont="1" applyFill="1" applyBorder="1" applyAlignment="1">
      <alignment horizontal="center" vertical="center"/>
    </xf>
    <xf numFmtId="165" fontId="13" fillId="4" borderId="47" xfId="1" applyNumberFormat="1" applyFont="1" applyFill="1" applyBorder="1" applyAlignment="1">
      <alignment horizontal="center" vertical="center"/>
    </xf>
    <xf numFmtId="165" fontId="13" fillId="4" borderId="48" xfId="1" applyNumberFormat="1" applyFont="1" applyFill="1" applyBorder="1" applyAlignment="1">
      <alignment horizontal="center" vertical="center"/>
    </xf>
    <xf numFmtId="165" fontId="13" fillId="0" borderId="45" xfId="1" applyNumberFormat="1" applyFont="1" applyBorder="1" applyAlignment="1">
      <alignment horizontal="center" vertical="center"/>
    </xf>
    <xf numFmtId="165" fontId="14" fillId="2" borderId="49" xfId="1" applyNumberFormat="1" applyFont="1" applyFill="1" applyBorder="1" applyAlignment="1">
      <alignment horizontal="center" vertical="center"/>
    </xf>
    <xf numFmtId="165" fontId="14" fillId="2" borderId="50" xfId="1" applyNumberFormat="1" applyFont="1" applyFill="1" applyBorder="1" applyAlignment="1">
      <alignment horizontal="center" vertical="center"/>
    </xf>
    <xf numFmtId="164" fontId="13" fillId="0" borderId="51" xfId="1" applyFont="1" applyBorder="1" applyAlignment="1">
      <alignment vertical="center"/>
    </xf>
    <xf numFmtId="164" fontId="10" fillId="4" borderId="52" xfId="1" applyFont="1" applyFill="1" applyBorder="1" applyAlignment="1">
      <alignment horizontal="left" vertical="center"/>
    </xf>
    <xf numFmtId="164" fontId="10" fillId="4" borderId="8" xfId="1" applyFont="1" applyFill="1" applyBorder="1" applyAlignment="1">
      <alignment horizontal="center" vertical="center"/>
    </xf>
    <xf numFmtId="164" fontId="10" fillId="4" borderId="53" xfId="1" applyFont="1" applyFill="1" applyBorder="1" applyAlignment="1">
      <alignment horizontal="center" vertical="center"/>
    </xf>
    <xf numFmtId="164" fontId="10" fillId="4" borderId="8" xfId="1" applyFont="1" applyFill="1" applyBorder="1" applyAlignment="1">
      <alignment horizontal="center" vertical="center"/>
    </xf>
    <xf numFmtId="164" fontId="15" fillId="6" borderId="54" xfId="1" applyFont="1" applyFill="1" applyBorder="1" applyAlignment="1">
      <alignment horizontal="left" vertical="center" wrapText="1"/>
    </xf>
    <xf numFmtId="164" fontId="13" fillId="0" borderId="13" xfId="1" applyFont="1" applyBorder="1" applyAlignment="1">
      <alignment horizontal="left" vertical="center"/>
    </xf>
    <xf numFmtId="166" fontId="13" fillId="4" borderId="13" xfId="1" applyNumberFormat="1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7" xfId="0" applyFont="1" applyFill="1" applyBorder="1"/>
    <xf numFmtId="164" fontId="13" fillId="0" borderId="13" xfId="1" applyFont="1" applyBorder="1" applyAlignment="1">
      <alignment horizontal="center" vertical="center"/>
    </xf>
    <xf numFmtId="1" fontId="14" fillId="2" borderId="13" xfId="1" applyNumberFormat="1" applyFont="1" applyFill="1" applyBorder="1" applyAlignment="1">
      <alignment horizontal="center" vertical="center"/>
    </xf>
    <xf numFmtId="1" fontId="14" fillId="2" borderId="14" xfId="1" applyNumberFormat="1" applyFont="1" applyFill="1" applyBorder="1" applyAlignment="1">
      <alignment horizontal="center" vertical="center"/>
    </xf>
    <xf numFmtId="1" fontId="14" fillId="2" borderId="17" xfId="1" applyNumberFormat="1" applyFont="1" applyFill="1" applyBorder="1" applyAlignment="1">
      <alignment horizontal="center" vertical="center"/>
    </xf>
    <xf numFmtId="164" fontId="14" fillId="0" borderId="13" xfId="1" applyFont="1" applyBorder="1" applyAlignment="1">
      <alignment horizontal="left" vertical="center"/>
    </xf>
    <xf numFmtId="164" fontId="13" fillId="0" borderId="22" xfId="1" applyFont="1" applyBorder="1" applyAlignment="1">
      <alignment horizontal="left" vertical="center"/>
    </xf>
    <xf numFmtId="166" fontId="13" fillId="4" borderId="22" xfId="1" applyNumberFormat="1" applyFont="1" applyFill="1" applyBorder="1" applyAlignment="1">
      <alignment horizontal="center" vertical="center"/>
    </xf>
    <xf numFmtId="164" fontId="13" fillId="0" borderId="22" xfId="1" applyFont="1" applyBorder="1" applyAlignment="1">
      <alignment horizontal="center" vertical="center"/>
    </xf>
    <xf numFmtId="1" fontId="14" fillId="2" borderId="22" xfId="1" applyNumberFormat="1" applyFont="1" applyFill="1" applyBorder="1" applyAlignment="1">
      <alignment horizontal="center" vertical="center"/>
    </xf>
    <xf numFmtId="164" fontId="14" fillId="0" borderId="22" xfId="1" applyFont="1" applyBorder="1" applyAlignment="1">
      <alignment horizontal="left" vertical="center"/>
    </xf>
    <xf numFmtId="164" fontId="13" fillId="7" borderId="21" xfId="1" applyFont="1" applyFill="1" applyBorder="1" applyAlignment="1">
      <alignment horizontal="left" vertical="center"/>
    </xf>
    <xf numFmtId="0" fontId="1" fillId="0" borderId="23" xfId="0" applyFont="1" applyFill="1" applyBorder="1"/>
    <xf numFmtId="0" fontId="1" fillId="0" borderId="25" xfId="0" applyFont="1" applyFill="1" applyBorder="1"/>
    <xf numFmtId="1" fontId="14" fillId="2" borderId="23" xfId="1" applyNumberFormat="1" applyFont="1" applyFill="1" applyBorder="1" applyAlignment="1">
      <alignment horizontal="center" vertical="center"/>
    </xf>
    <xf numFmtId="1" fontId="14" fillId="2" borderId="25" xfId="1" applyNumberFormat="1" applyFont="1" applyFill="1" applyBorder="1" applyAlignment="1">
      <alignment horizontal="center" vertical="center"/>
    </xf>
    <xf numFmtId="164" fontId="13" fillId="0" borderId="29" xfId="1" applyFont="1" applyBorder="1" applyAlignment="1">
      <alignment horizontal="left" vertical="center"/>
    </xf>
    <xf numFmtId="166" fontId="13" fillId="4" borderId="29" xfId="1" applyNumberFormat="1" applyFont="1" applyFill="1" applyBorder="1" applyAlignment="1">
      <alignment horizontal="center" vertical="center"/>
    </xf>
    <xf numFmtId="166" fontId="13" fillId="0" borderId="29" xfId="1" applyNumberFormat="1" applyFont="1" applyBorder="1" applyAlignment="1">
      <alignment horizontal="center" vertical="center"/>
    </xf>
    <xf numFmtId="164" fontId="13" fillId="0" borderId="29" xfId="1" applyFont="1" applyBorder="1" applyAlignment="1">
      <alignment horizontal="center" vertical="center"/>
    </xf>
    <xf numFmtId="1" fontId="14" fillId="2" borderId="29" xfId="1" applyNumberFormat="1" applyFont="1" applyFill="1" applyBorder="1" applyAlignment="1">
      <alignment horizontal="center" vertical="center"/>
    </xf>
    <xf numFmtId="164" fontId="14" fillId="0" borderId="29" xfId="1" applyFont="1" applyBorder="1" applyAlignment="1">
      <alignment horizontal="left" vertical="center"/>
    </xf>
    <xf numFmtId="49" fontId="10" fillId="4" borderId="8" xfId="1" applyNumberFormat="1" applyFont="1" applyFill="1" applyBorder="1" applyAlignment="1">
      <alignment horizontal="center" vertical="center"/>
    </xf>
    <xf numFmtId="49" fontId="10" fillId="4" borderId="2" xfId="1" applyNumberFormat="1" applyFont="1" applyFill="1" applyBorder="1" applyAlignment="1">
      <alignment horizontal="center" vertical="center"/>
    </xf>
    <xf numFmtId="166" fontId="13" fillId="4" borderId="14" xfId="1" applyNumberFormat="1" applyFont="1" applyFill="1" applyBorder="1" applyAlignment="1">
      <alignment horizontal="center" vertical="center"/>
    </xf>
    <xf numFmtId="166" fontId="13" fillId="4" borderId="16" xfId="1" applyNumberFormat="1" applyFont="1" applyFill="1" applyBorder="1" applyAlignment="1">
      <alignment horizontal="center" vertical="center"/>
    </xf>
    <xf numFmtId="166" fontId="13" fillId="4" borderId="17" xfId="1" applyNumberFormat="1" applyFont="1" applyFill="1" applyBorder="1" applyAlignment="1">
      <alignment horizontal="center" vertical="center"/>
    </xf>
    <xf numFmtId="164" fontId="13" fillId="0" borderId="14" xfId="1" applyFont="1" applyFill="1" applyBorder="1" applyAlignment="1">
      <alignment horizontal="center" vertical="center"/>
    </xf>
    <xf numFmtId="164" fontId="13" fillId="0" borderId="17" xfId="1" applyFont="1" applyFill="1" applyBorder="1" applyAlignment="1">
      <alignment horizontal="center" vertical="center"/>
    </xf>
    <xf numFmtId="1" fontId="14" fillId="2" borderId="16" xfId="1" applyNumberFormat="1" applyFont="1" applyFill="1" applyBorder="1" applyAlignment="1">
      <alignment horizontal="center" vertical="center"/>
    </xf>
    <xf numFmtId="164" fontId="14" fillId="0" borderId="13" xfId="1" applyFont="1" applyFill="1" applyBorder="1" applyAlignment="1">
      <alignment horizontal="left" vertical="center"/>
    </xf>
    <xf numFmtId="164" fontId="13" fillId="0" borderId="20" xfId="1" applyFont="1" applyBorder="1" applyAlignment="1">
      <alignment horizontal="left" vertical="center"/>
    </xf>
    <xf numFmtId="166" fontId="13" fillId="4" borderId="23" xfId="1" applyNumberFormat="1" applyFont="1" applyFill="1" applyBorder="1" applyAlignment="1">
      <alignment horizontal="center" vertical="center"/>
    </xf>
    <xf numFmtId="166" fontId="13" fillId="4" borderId="24" xfId="1" applyNumberFormat="1" applyFont="1" applyFill="1" applyBorder="1" applyAlignment="1">
      <alignment horizontal="center" vertical="center"/>
    </xf>
    <xf numFmtId="166" fontId="13" fillId="4" borderId="25" xfId="1" applyNumberFormat="1" applyFont="1" applyFill="1" applyBorder="1" applyAlignment="1">
      <alignment horizontal="center" vertical="center"/>
    </xf>
    <xf numFmtId="164" fontId="13" fillId="0" borderId="23" xfId="1" applyFont="1" applyFill="1" applyBorder="1" applyAlignment="1">
      <alignment horizontal="center" vertical="center"/>
    </xf>
    <xf numFmtId="164" fontId="13" fillId="0" borderId="25" xfId="1" applyFont="1" applyFill="1" applyBorder="1" applyAlignment="1">
      <alignment horizontal="center" vertical="center"/>
    </xf>
    <xf numFmtId="1" fontId="14" fillId="2" borderId="24" xfId="1" applyNumberFormat="1" applyFont="1" applyFill="1" applyBorder="1" applyAlignment="1">
      <alignment horizontal="center" vertical="center"/>
    </xf>
    <xf numFmtId="164" fontId="14" fillId="0" borderId="22" xfId="1" applyFont="1" applyFill="1" applyBorder="1" applyAlignment="1">
      <alignment horizontal="left" vertical="center"/>
    </xf>
    <xf numFmtId="164" fontId="13" fillId="0" borderId="55" xfId="1" applyFont="1" applyBorder="1" applyAlignment="1">
      <alignment vertical="center"/>
    </xf>
    <xf numFmtId="1" fontId="13" fillId="4" borderId="23" xfId="1" applyNumberFormat="1" applyFont="1" applyFill="1" applyBorder="1" applyAlignment="1">
      <alignment horizontal="center" vertical="center"/>
    </xf>
    <xf numFmtId="1" fontId="13" fillId="4" borderId="25" xfId="1" applyNumberFormat="1" applyFont="1" applyFill="1" applyBorder="1" applyAlignment="1">
      <alignment horizontal="center" vertical="center"/>
    </xf>
    <xf numFmtId="165" fontId="13" fillId="4" borderId="22" xfId="1" applyNumberFormat="1" applyFont="1" applyFill="1" applyBorder="1" applyAlignment="1">
      <alignment horizontal="center" vertical="center"/>
    </xf>
    <xf numFmtId="164" fontId="13" fillId="4" borderId="23" xfId="1" applyFont="1" applyFill="1" applyBorder="1" applyAlignment="1">
      <alignment horizontal="center" vertical="center"/>
    </xf>
    <xf numFmtId="164" fontId="13" fillId="4" borderId="24" xfId="1" applyFont="1" applyFill="1" applyBorder="1" applyAlignment="1">
      <alignment horizontal="center" vertical="center"/>
    </xf>
    <xf numFmtId="1" fontId="13" fillId="4" borderId="22" xfId="1" applyNumberFormat="1" applyFont="1" applyFill="1" applyBorder="1" applyAlignment="1">
      <alignment horizontal="center" vertical="center"/>
    </xf>
    <xf numFmtId="49" fontId="13" fillId="0" borderId="29" xfId="1" applyNumberFormat="1" applyFont="1" applyBorder="1" applyAlignment="1">
      <alignment horizontal="left" vertical="center"/>
    </xf>
    <xf numFmtId="166" fontId="13" fillId="4" borderId="49" xfId="1" applyNumberFormat="1" applyFont="1" applyFill="1" applyBorder="1" applyAlignment="1">
      <alignment horizontal="center" vertical="center"/>
    </xf>
    <xf numFmtId="166" fontId="13" fillId="4" borderId="56" xfId="1" applyNumberFormat="1" applyFont="1" applyFill="1" applyBorder="1" applyAlignment="1">
      <alignment horizontal="center" vertical="center"/>
    </xf>
    <xf numFmtId="165" fontId="13" fillId="4" borderId="29" xfId="1" applyNumberFormat="1" applyFont="1" applyFill="1" applyBorder="1" applyAlignment="1">
      <alignment horizontal="center" vertical="center"/>
    </xf>
    <xf numFmtId="1" fontId="14" fillId="2" borderId="49" xfId="1" applyNumberFormat="1" applyFont="1" applyFill="1" applyBorder="1" applyAlignment="1">
      <alignment horizontal="center" vertical="center"/>
    </xf>
    <xf numFmtId="1" fontId="14" fillId="2" borderId="56" xfId="1" applyNumberFormat="1" applyFont="1" applyFill="1" applyBorder="1" applyAlignment="1">
      <alignment horizontal="center" vertical="center"/>
    </xf>
    <xf numFmtId="166" fontId="13" fillId="4" borderId="22" xfId="1" applyNumberFormat="1" applyFont="1" applyFill="1" applyBorder="1" applyAlignment="1">
      <alignment horizontal="center" vertical="center"/>
    </xf>
    <xf numFmtId="164" fontId="13" fillId="0" borderId="22" xfId="1" applyFont="1" applyFill="1" applyBorder="1" applyAlignment="1">
      <alignment horizontal="center" vertical="center"/>
    </xf>
    <xf numFmtId="1" fontId="14" fillId="2" borderId="22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left" vertical="center"/>
    </xf>
    <xf numFmtId="164" fontId="13" fillId="0" borderId="57" xfId="1" applyFont="1" applyBorder="1" applyAlignment="1">
      <alignment horizontal="left" vertical="center"/>
    </xf>
    <xf numFmtId="166" fontId="13" fillId="4" borderId="58" xfId="1" applyNumberFormat="1" applyFont="1" applyFill="1" applyBorder="1" applyAlignment="1">
      <alignment horizontal="center" vertical="center"/>
    </xf>
    <xf numFmtId="164" fontId="13" fillId="0" borderId="58" xfId="1" applyFont="1" applyFill="1" applyBorder="1" applyAlignment="1">
      <alignment horizontal="center" vertical="center"/>
    </xf>
    <xf numFmtId="1" fontId="14" fillId="0" borderId="58" xfId="1" applyNumberFormat="1" applyFont="1" applyFill="1" applyBorder="1" applyAlignment="1">
      <alignment horizontal="left" vertical="center"/>
    </xf>
    <xf numFmtId="164" fontId="13" fillId="0" borderId="59" xfId="1" applyFont="1" applyBorder="1" applyAlignment="1">
      <alignment vertical="center"/>
    </xf>
    <xf numFmtId="166" fontId="14" fillId="4" borderId="13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 vertical="center"/>
    </xf>
    <xf numFmtId="49" fontId="13" fillId="0" borderId="17" xfId="1" applyNumberFormat="1" applyFont="1" applyFill="1" applyBorder="1" applyAlignment="1">
      <alignment horizontal="center" vertical="center"/>
    </xf>
    <xf numFmtId="49" fontId="14" fillId="0" borderId="13" xfId="1" applyNumberFormat="1" applyFont="1" applyFill="1" applyBorder="1" applyAlignment="1">
      <alignment horizontal="left" vertical="center"/>
    </xf>
    <xf numFmtId="1" fontId="14" fillId="4" borderId="22" xfId="1" applyNumberFormat="1" applyFont="1" applyFill="1" applyBorder="1" applyAlignment="1">
      <alignment horizontal="center" vertical="center"/>
    </xf>
    <xf numFmtId="49" fontId="13" fillId="0" borderId="23" xfId="1" applyNumberFormat="1" applyFont="1" applyFill="1" applyBorder="1" applyAlignment="1">
      <alignment horizontal="center" vertical="center"/>
    </xf>
    <xf numFmtId="49" fontId="13" fillId="0" borderId="25" xfId="1" applyNumberFormat="1" applyFont="1" applyFill="1" applyBorder="1" applyAlignment="1">
      <alignment horizontal="center" vertical="center"/>
    </xf>
    <xf numFmtId="49" fontId="14" fillId="0" borderId="22" xfId="1" applyNumberFormat="1" applyFont="1" applyFill="1" applyBorder="1" applyAlignment="1">
      <alignment horizontal="left" vertical="center"/>
    </xf>
    <xf numFmtId="166" fontId="14" fillId="4" borderId="22" xfId="1" applyNumberFormat="1" applyFont="1" applyFill="1" applyBorder="1" applyAlignment="1">
      <alignment horizontal="center" vertical="center"/>
    </xf>
    <xf numFmtId="164" fontId="13" fillId="0" borderId="31" xfId="1" applyFont="1" applyBorder="1" applyAlignment="1">
      <alignment horizontal="left" vertical="center"/>
    </xf>
    <xf numFmtId="166" fontId="14" fillId="4" borderId="31" xfId="1" applyNumberFormat="1" applyFont="1" applyFill="1" applyBorder="1" applyAlignment="1">
      <alignment horizontal="center" vertical="center"/>
    </xf>
    <xf numFmtId="49" fontId="13" fillId="0" borderId="31" xfId="1" applyNumberFormat="1" applyFont="1" applyFill="1" applyBorder="1" applyAlignment="1">
      <alignment horizontal="center" vertical="center"/>
    </xf>
    <xf numFmtId="1" fontId="14" fillId="2" borderId="31" xfId="1" applyNumberFormat="1" applyFont="1" applyFill="1" applyBorder="1" applyAlignment="1">
      <alignment horizontal="center" vertical="center"/>
    </xf>
    <xf numFmtId="49" fontId="14" fillId="0" borderId="31" xfId="1" applyNumberFormat="1" applyFont="1" applyFill="1" applyBorder="1" applyAlignment="1">
      <alignment horizontal="left" vertical="center"/>
    </xf>
    <xf numFmtId="164" fontId="13" fillId="0" borderId="45" xfId="1" applyFont="1" applyBorder="1" applyAlignment="1">
      <alignment horizontal="left" vertical="center"/>
    </xf>
    <xf numFmtId="166" fontId="14" fillId="4" borderId="46" xfId="1" applyNumberFormat="1" applyFont="1" applyFill="1" applyBorder="1" applyAlignment="1">
      <alignment horizontal="center" vertical="center"/>
    </xf>
    <xf numFmtId="166" fontId="14" fillId="4" borderId="47" xfId="1" applyNumberFormat="1" applyFont="1" applyFill="1" applyBorder="1" applyAlignment="1">
      <alignment horizontal="center" vertical="center"/>
    </xf>
    <xf numFmtId="166" fontId="14" fillId="4" borderId="48" xfId="1" applyNumberFormat="1" applyFont="1" applyFill="1" applyBorder="1" applyAlignment="1">
      <alignment horizontal="center" vertical="center"/>
    </xf>
    <xf numFmtId="49" fontId="13" fillId="0" borderId="46" xfId="1" applyNumberFormat="1" applyFont="1" applyFill="1" applyBorder="1" applyAlignment="1">
      <alignment horizontal="center" vertical="center"/>
    </xf>
    <xf numFmtId="49" fontId="13" fillId="0" borderId="48" xfId="1" applyNumberFormat="1" applyFont="1" applyFill="1" applyBorder="1" applyAlignment="1">
      <alignment horizontal="center" vertical="center"/>
    </xf>
    <xf numFmtId="1" fontId="14" fillId="2" borderId="46" xfId="1" applyNumberFormat="1" applyFont="1" applyFill="1" applyBorder="1" applyAlignment="1">
      <alignment horizontal="center" vertical="center"/>
    </xf>
    <xf numFmtId="1" fontId="14" fillId="2" borderId="47" xfId="1" applyNumberFormat="1" applyFont="1" applyFill="1" applyBorder="1" applyAlignment="1">
      <alignment horizontal="center" vertical="center"/>
    </xf>
    <xf numFmtId="1" fontId="14" fillId="2" borderId="48" xfId="1" applyNumberFormat="1" applyFont="1" applyFill="1" applyBorder="1" applyAlignment="1">
      <alignment horizontal="center" vertical="center"/>
    </xf>
    <xf numFmtId="49" fontId="14" fillId="0" borderId="45" xfId="1" applyNumberFormat="1" applyFont="1" applyFill="1" applyBorder="1" applyAlignment="1">
      <alignment horizontal="left" vertical="center"/>
    </xf>
    <xf numFmtId="164" fontId="13" fillId="8" borderId="60" xfId="1" applyFont="1" applyFill="1" applyBorder="1" applyAlignment="1">
      <alignment horizontal="left" vertical="center"/>
    </xf>
    <xf numFmtId="164" fontId="13" fillId="8" borderId="19" xfId="1" applyFont="1" applyFill="1" applyBorder="1" applyAlignment="1">
      <alignment horizontal="left" vertical="center"/>
    </xf>
    <xf numFmtId="1" fontId="13" fillId="9" borderId="61" xfId="1" applyNumberFormat="1" applyFont="1" applyFill="1" applyBorder="1" applyAlignment="1">
      <alignment horizontal="center" vertical="center"/>
    </xf>
    <xf numFmtId="1" fontId="13" fillId="9" borderId="62" xfId="1" applyNumberFormat="1" applyFont="1" applyFill="1" applyBorder="1" applyAlignment="1">
      <alignment horizontal="center" vertical="center"/>
    </xf>
    <xf numFmtId="1" fontId="13" fillId="9" borderId="19" xfId="1" applyNumberFormat="1" applyFont="1" applyFill="1" applyBorder="1" applyAlignment="1">
      <alignment horizontal="center" vertical="center"/>
    </xf>
    <xf numFmtId="49" fontId="13" fillId="8" borderId="19" xfId="1" applyNumberFormat="1" applyFont="1" applyFill="1" applyBorder="1" applyAlignment="1">
      <alignment horizontal="center" vertical="center"/>
    </xf>
    <xf numFmtId="1" fontId="14" fillId="5" borderId="19" xfId="1" applyNumberFormat="1" applyFont="1" applyFill="1" applyBorder="1" applyAlignment="1">
      <alignment horizontal="center" vertical="center"/>
    </xf>
    <xf numFmtId="164" fontId="14" fillId="10" borderId="19" xfId="1" applyFont="1" applyFill="1" applyBorder="1" applyAlignment="1">
      <alignment horizontal="left" vertical="center" wrapText="1"/>
    </xf>
    <xf numFmtId="164" fontId="13" fillId="8" borderId="63" xfId="1" applyFont="1" applyFill="1" applyBorder="1" applyAlignment="1">
      <alignment vertical="center"/>
    </xf>
    <xf numFmtId="166" fontId="13" fillId="4" borderId="18" xfId="1" applyNumberFormat="1" applyFont="1" applyFill="1" applyBorder="1" applyAlignment="1">
      <alignment horizontal="center" vertical="center"/>
    </xf>
    <xf numFmtId="166" fontId="13" fillId="4" borderId="64" xfId="1" applyNumberFormat="1" applyFont="1" applyFill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1" fontId="14" fillId="2" borderId="65" xfId="1" applyNumberFormat="1" applyFont="1" applyFill="1" applyBorder="1" applyAlignment="1">
      <alignment horizontal="center" vertical="center"/>
    </xf>
    <xf numFmtId="1" fontId="14" fillId="2" borderId="26" xfId="1" applyNumberFormat="1" applyFont="1" applyFill="1" applyBorder="1" applyAlignment="1">
      <alignment horizontal="center" vertical="center"/>
    </xf>
    <xf numFmtId="1" fontId="14" fillId="2" borderId="66" xfId="1" applyNumberFormat="1" applyFont="1" applyFill="1" applyBorder="1" applyAlignment="1">
      <alignment horizontal="center" vertical="center"/>
    </xf>
    <xf numFmtId="49" fontId="14" fillId="0" borderId="13" xfId="1" applyNumberFormat="1" applyFont="1" applyBorder="1" applyAlignment="1">
      <alignment horizontal="left" vertical="center"/>
    </xf>
    <xf numFmtId="164" fontId="13" fillId="0" borderId="29" xfId="1" applyFont="1" applyFill="1" applyBorder="1" applyAlignment="1">
      <alignment horizontal="left" vertical="center"/>
    </xf>
    <xf numFmtId="1" fontId="13" fillId="4" borderId="49" xfId="1" applyNumberFormat="1" applyFont="1" applyFill="1" applyBorder="1" applyAlignment="1">
      <alignment horizontal="center" vertical="center"/>
    </xf>
    <xf numFmtId="1" fontId="13" fillId="4" borderId="56" xfId="1" applyNumberFormat="1" applyFont="1" applyFill="1" applyBorder="1" applyAlignment="1">
      <alignment horizontal="center" vertical="center"/>
    </xf>
    <xf numFmtId="49" fontId="13" fillId="0" borderId="29" xfId="1" applyNumberFormat="1" applyFont="1" applyBorder="1" applyAlignment="1">
      <alignment horizontal="center" vertical="center"/>
    </xf>
    <xf numFmtId="1" fontId="14" fillId="2" borderId="67" xfId="1" applyNumberFormat="1" applyFont="1" applyFill="1" applyBorder="1" applyAlignment="1">
      <alignment horizontal="center" vertical="center"/>
    </xf>
    <xf numFmtId="1" fontId="14" fillId="2" borderId="45" xfId="1" applyNumberFormat="1" applyFont="1" applyFill="1" applyBorder="1" applyAlignment="1">
      <alignment horizontal="center" vertical="center"/>
    </xf>
    <xf numFmtId="1" fontId="14" fillId="2" borderId="68" xfId="1" applyNumberFormat="1" applyFont="1" applyFill="1" applyBorder="1" applyAlignment="1">
      <alignment horizontal="center" vertical="center"/>
    </xf>
    <xf numFmtId="49" fontId="14" fillId="0" borderId="29" xfId="1" applyNumberFormat="1" applyFont="1" applyBorder="1" applyAlignment="1">
      <alignment horizontal="left" vertical="center"/>
    </xf>
    <xf numFmtId="164" fontId="13" fillId="8" borderId="12" xfId="1" applyFont="1" applyFill="1" applyBorder="1" applyAlignment="1">
      <alignment horizontal="left" vertical="center"/>
    </xf>
    <xf numFmtId="164" fontId="13" fillId="8" borderId="27" xfId="1" applyFont="1" applyFill="1" applyBorder="1" applyAlignment="1">
      <alignment horizontal="left" vertical="center"/>
    </xf>
    <xf numFmtId="165" fontId="13" fillId="4" borderId="49" xfId="1" applyNumberFormat="1" applyFont="1" applyFill="1" applyBorder="1" applyAlignment="1">
      <alignment horizontal="center" vertical="center"/>
    </xf>
    <xf numFmtId="165" fontId="13" fillId="4" borderId="56" xfId="1" applyNumberFormat="1" applyFont="1" applyFill="1" applyBorder="1" applyAlignment="1">
      <alignment horizontal="center" vertical="center"/>
    </xf>
    <xf numFmtId="1" fontId="14" fillId="2" borderId="50" xfId="1" applyNumberFormat="1" applyFont="1" applyFill="1" applyBorder="1" applyAlignment="1">
      <alignment horizontal="center" vertical="center"/>
    </xf>
    <xf numFmtId="164" fontId="13" fillId="0" borderId="69" xfId="1" applyFont="1" applyBorder="1" applyAlignment="1">
      <alignment vertical="center"/>
    </xf>
    <xf numFmtId="164" fontId="13" fillId="8" borderId="21" xfId="1" applyFont="1" applyFill="1" applyBorder="1" applyAlignment="1">
      <alignment horizontal="left" vertical="center"/>
    </xf>
    <xf numFmtId="164" fontId="13" fillId="8" borderId="70" xfId="1" applyFont="1" applyFill="1" applyBorder="1" applyAlignment="1">
      <alignment horizontal="left" vertical="center"/>
    </xf>
    <xf numFmtId="164" fontId="13" fillId="0" borderId="58" xfId="1" applyFont="1" applyBorder="1" applyAlignment="1">
      <alignment horizontal="left" vertical="center"/>
    </xf>
    <xf numFmtId="166" fontId="13" fillId="4" borderId="50" xfId="1" applyNumberFormat="1" applyFont="1" applyFill="1" applyBorder="1" applyAlignment="1">
      <alignment horizontal="center" vertical="center"/>
    </xf>
    <xf numFmtId="164" fontId="13" fillId="0" borderId="49" xfId="1" applyFont="1" applyFill="1" applyBorder="1" applyAlignment="1">
      <alignment horizontal="center" vertical="center"/>
    </xf>
    <xf numFmtId="164" fontId="13" fillId="0" borderId="56" xfId="1" applyFont="1" applyFill="1" applyBorder="1" applyAlignment="1">
      <alignment horizontal="center" vertical="center"/>
    </xf>
    <xf numFmtId="164" fontId="14" fillId="0" borderId="58" xfId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1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" fontId="6" fillId="0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4" borderId="3" xfId="1" applyFont="1" applyFill="1" applyBorder="1" applyAlignment="1">
      <alignment horizontal="center" vertical="center"/>
    </xf>
    <xf numFmtId="164" fontId="9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6" borderId="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" fontId="13" fillId="4" borderId="14" xfId="1" applyNumberFormat="1" applyFont="1" applyFill="1" applyBorder="1" applyAlignment="1">
      <alignment horizontal="center" vertical="center"/>
    </xf>
    <xf numFmtId="1" fontId="13" fillId="4" borderId="17" xfId="1" applyNumberFormat="1" applyFont="1" applyFill="1" applyBorder="1" applyAlignment="1">
      <alignment horizontal="center" vertical="center"/>
    </xf>
    <xf numFmtId="1" fontId="13" fillId="4" borderId="16" xfId="1" applyNumberFormat="1" applyFont="1" applyFill="1" applyBorder="1" applyAlignment="1">
      <alignment horizontal="center" vertic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eln%20Roy%20Hinnen/Formeln_11.0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mFormel-D"/>
      <sheetName val="swimFormel-EN"/>
      <sheetName val="bikeFormel-D"/>
      <sheetName val="bikeFormel-EN"/>
      <sheetName val="runFormel-D"/>
      <sheetName val="runFormel-EN"/>
      <sheetName val="raceFormel-D"/>
      <sheetName val="raceForme-EN"/>
      <sheetName val="pulsFormel-D"/>
      <sheetName val="pulsFormel-EN"/>
      <sheetName val="swimTrainings-D"/>
      <sheetName val="swimTrainings-EN"/>
      <sheetName val="aero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5">
          <cell r="C35">
            <v>129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M72"/>
  <sheetViews>
    <sheetView tabSelected="1" zoomScale="110" zoomScaleNormal="110" workbookViewId="0">
      <selection activeCell="H1" sqref="H1:M1"/>
    </sheetView>
  </sheetViews>
  <sheetFormatPr baseColWidth="10" defaultColWidth="12.5703125" defaultRowHeight="15" x14ac:dyDescent="0.25"/>
  <cols>
    <col min="1" max="1" width="26.140625" style="30" customWidth="1"/>
    <col min="2" max="2" width="39.7109375" style="30" customWidth="1"/>
    <col min="3" max="3" width="15.28515625" style="30" customWidth="1"/>
    <col min="4" max="4" width="11.42578125" style="30" customWidth="1"/>
    <col min="5" max="5" width="9.7109375" style="30" customWidth="1"/>
    <col min="6" max="7" width="11.42578125" style="30" customWidth="1"/>
    <col min="8" max="11" width="4.85546875" style="30" customWidth="1"/>
    <col min="12" max="12" width="11.42578125" style="30" customWidth="1"/>
    <col min="13" max="13" width="7" style="30" customWidth="1"/>
    <col min="14" max="1001" width="9.7109375" style="30" customWidth="1"/>
    <col min="1002" max="16384" width="12.5703125" style="3"/>
  </cols>
  <sheetData>
    <row r="1" spans="1:1001" ht="36" customHeight="1" thickBot="1" x14ac:dyDescent="0.3">
      <c r="A1" s="1" t="s">
        <v>0</v>
      </c>
      <c r="B1" s="1"/>
      <c r="C1" s="2"/>
      <c r="D1" s="3"/>
      <c r="E1" s="3"/>
      <c r="F1" s="3"/>
      <c r="G1" s="4" t="s">
        <v>1</v>
      </c>
      <c r="H1" s="221" t="s">
        <v>139</v>
      </c>
      <c r="I1" s="222"/>
      <c r="J1" s="222"/>
      <c r="K1" s="222"/>
      <c r="L1" s="222"/>
      <c r="M1" s="223"/>
      <c r="N1" s="6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</row>
    <row r="2" spans="1:1001" ht="15.75" customHeight="1" thickBot="1" x14ac:dyDescent="0.3">
      <c r="A2" s="7" t="s">
        <v>2</v>
      </c>
      <c r="B2" s="8"/>
      <c r="C2" s="214" t="s">
        <v>3</v>
      </c>
      <c r="D2" s="9" t="s">
        <v>4</v>
      </c>
      <c r="E2" s="10" t="s">
        <v>5</v>
      </c>
      <c r="F2" s="11">
        <v>172</v>
      </c>
      <c r="G2" s="220">
        <v>75</v>
      </c>
      <c r="H2" s="3"/>
      <c r="I2" s="3"/>
      <c r="J2" s="3"/>
      <c r="K2" s="3"/>
      <c r="L2" s="3"/>
      <c r="M2" s="12"/>
      <c r="N2" s="1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</row>
    <row r="3" spans="1:1001" ht="15.75" customHeight="1" thickBot="1" x14ac:dyDescent="0.3">
      <c r="A3" s="13" t="s">
        <v>138</v>
      </c>
      <c r="B3" s="14"/>
      <c r="C3" s="219">
        <v>280</v>
      </c>
      <c r="D3" s="215">
        <f>SUM(C3*0.8)</f>
        <v>224</v>
      </c>
      <c r="E3" s="216">
        <f>SUM(D3*0.9)</f>
        <v>201.6</v>
      </c>
      <c r="F3" s="217">
        <f>SUM(E3)</f>
        <v>201.6</v>
      </c>
      <c r="G3" s="2"/>
      <c r="H3" s="3"/>
      <c r="I3" s="3"/>
      <c r="J3" s="3"/>
      <c r="K3" s="2"/>
      <c r="L3" s="3"/>
      <c r="M3" s="5"/>
      <c r="N3" s="6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</row>
    <row r="4" spans="1:1001" ht="15.75" thickBot="1" x14ac:dyDescent="0.3">
      <c r="A4" s="15"/>
      <c r="B4" s="16"/>
      <c r="C4" s="17"/>
      <c r="D4" s="17"/>
      <c r="E4" s="17"/>
      <c r="F4" s="17"/>
      <c r="G4" s="18"/>
      <c r="H4" s="17"/>
      <c r="I4" s="17"/>
      <c r="J4" s="17"/>
      <c r="K4" s="2"/>
      <c r="L4" s="3"/>
      <c r="M4" s="5"/>
      <c r="N4" s="6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</row>
    <row r="5" spans="1:1001" ht="15" customHeight="1" thickBot="1" x14ac:dyDescent="0.3">
      <c r="A5" s="19" t="s">
        <v>6</v>
      </c>
      <c r="B5" s="20" t="s">
        <v>7</v>
      </c>
      <c r="C5" s="218" t="s">
        <v>8</v>
      </c>
      <c r="D5" s="21" t="s">
        <v>9</v>
      </c>
      <c r="E5" s="22"/>
      <c r="F5" s="23"/>
      <c r="G5" s="24" t="s">
        <v>10</v>
      </c>
      <c r="H5" s="25" t="s">
        <v>11</v>
      </c>
      <c r="I5" s="26"/>
      <c r="J5" s="26"/>
      <c r="K5" s="27"/>
      <c r="L5" s="28" t="s">
        <v>12</v>
      </c>
      <c r="M5" s="29" t="s">
        <v>13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</row>
    <row r="6" spans="1:1001" x14ac:dyDescent="0.25">
      <c r="A6" s="31" t="s">
        <v>14</v>
      </c>
      <c r="B6" s="32" t="s">
        <v>15</v>
      </c>
      <c r="C6" s="33">
        <f>SUM(F3/1.62)</f>
        <v>124.44444444444443</v>
      </c>
      <c r="D6" s="34">
        <f>SUM(F3*1.05)</f>
        <v>211.68</v>
      </c>
      <c r="E6" s="35"/>
      <c r="F6" s="36"/>
      <c r="G6" s="37" t="s">
        <v>16</v>
      </c>
      <c r="H6" s="38">
        <f>SUM(F2*0.75)</f>
        <v>129</v>
      </c>
      <c r="I6" s="38"/>
      <c r="J6" s="38">
        <f>SUM(F2*0.95)</f>
        <v>163.4</v>
      </c>
      <c r="K6" s="38"/>
      <c r="L6" s="39">
        <v>1</v>
      </c>
      <c r="M6" s="40" t="s">
        <v>17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</row>
    <row r="7" spans="1:1001" x14ac:dyDescent="0.25">
      <c r="A7" s="41" t="s">
        <v>18</v>
      </c>
      <c r="B7" s="42" t="s">
        <v>19</v>
      </c>
      <c r="C7" s="43">
        <f>SUM(F3/1.5)</f>
        <v>134.4</v>
      </c>
      <c r="D7" s="44">
        <f>SUM(F3)</f>
        <v>201.6</v>
      </c>
      <c r="E7" s="45"/>
      <c r="F7" s="46"/>
      <c r="G7" s="47" t="s">
        <v>16</v>
      </c>
      <c r="H7" s="48">
        <f>SUM(F2*0.78)</f>
        <v>134.16</v>
      </c>
      <c r="I7" s="48"/>
      <c r="J7" s="48">
        <f>SUM(F2*0.95)</f>
        <v>163.4</v>
      </c>
      <c r="K7" s="48"/>
      <c r="L7" s="49">
        <v>1</v>
      </c>
      <c r="M7" s="40" t="s">
        <v>17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</row>
    <row r="8" spans="1:1001" x14ac:dyDescent="0.25">
      <c r="A8" s="41" t="s">
        <v>20</v>
      </c>
      <c r="B8" s="42" t="s">
        <v>21</v>
      </c>
      <c r="C8" s="43">
        <f>SUM(F3/1.4)</f>
        <v>144</v>
      </c>
      <c r="D8" s="44">
        <f>SUM(F3*0.8)</f>
        <v>161.28</v>
      </c>
      <c r="E8" s="45"/>
      <c r="F8" s="46"/>
      <c r="G8" s="47" t="s">
        <v>22</v>
      </c>
      <c r="H8" s="48">
        <f>SUM(F2*0.82)</f>
        <v>141.04</v>
      </c>
      <c r="I8" s="48"/>
      <c r="J8" s="48">
        <f>SUM(F2*0.95)</f>
        <v>163.4</v>
      </c>
      <c r="K8" s="48"/>
      <c r="L8" s="49">
        <v>1</v>
      </c>
      <c r="M8" s="40" t="s">
        <v>17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</row>
    <row r="9" spans="1:1001" x14ac:dyDescent="0.25">
      <c r="A9" s="41" t="s">
        <v>23</v>
      </c>
      <c r="B9" s="42" t="s">
        <v>24</v>
      </c>
      <c r="C9" s="50">
        <f>SUM(F3/1.3)</f>
        <v>155.07692307692307</v>
      </c>
      <c r="D9" s="44">
        <f>SUM(F3/0.78)</f>
        <v>258.46153846153845</v>
      </c>
      <c r="E9" s="45"/>
      <c r="F9" s="46"/>
      <c r="G9" s="47" t="s">
        <v>25</v>
      </c>
      <c r="H9" s="48">
        <f>SUM(F2*0.85)</f>
        <v>146.19999999999999</v>
      </c>
      <c r="I9" s="48"/>
      <c r="J9" s="48">
        <f>SUM(F2*0.95)</f>
        <v>163.4</v>
      </c>
      <c r="K9" s="48"/>
      <c r="L9" s="49">
        <v>1</v>
      </c>
      <c r="M9" s="40" t="s">
        <v>17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</row>
    <row r="10" spans="1:1001" x14ac:dyDescent="0.25">
      <c r="A10" s="51" t="s">
        <v>26</v>
      </c>
      <c r="B10" s="42" t="s">
        <v>27</v>
      </c>
      <c r="C10" s="50">
        <f>SUM(F3/1.2)</f>
        <v>168</v>
      </c>
      <c r="D10" s="44">
        <f>SUM(F3/0.69)</f>
        <v>292.17391304347825</v>
      </c>
      <c r="E10" s="45"/>
      <c r="F10" s="46"/>
      <c r="G10" s="47" t="s">
        <v>28</v>
      </c>
      <c r="H10" s="52">
        <f>SUM(F2*0.9)</f>
        <v>154.80000000000001</v>
      </c>
      <c r="I10" s="52"/>
      <c r="J10" s="48">
        <f>SUM(F2*0.95)</f>
        <v>163.4</v>
      </c>
      <c r="K10" s="48"/>
      <c r="L10" s="53" t="s">
        <v>29</v>
      </c>
      <c r="M10" s="40" t="s">
        <v>17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</row>
    <row r="11" spans="1:1001" x14ac:dyDescent="0.25">
      <c r="A11" s="54" t="s">
        <v>30</v>
      </c>
      <c r="B11" s="55" t="s">
        <v>31</v>
      </c>
      <c r="C11" s="56">
        <f>SUM(F3*0.82)</f>
        <v>165.31199999999998</v>
      </c>
      <c r="D11" s="57"/>
      <c r="E11" s="57"/>
      <c r="F11" s="58"/>
      <c r="G11" s="59" t="s">
        <v>32</v>
      </c>
      <c r="H11" s="60">
        <f>SUM(F2*0.89)</f>
        <v>153.08000000000001</v>
      </c>
      <c r="I11" s="61"/>
      <c r="J11" s="61"/>
      <c r="K11" s="62"/>
      <c r="L11" s="53">
        <v>1</v>
      </c>
      <c r="M11" s="63" t="s">
        <v>33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</row>
    <row r="12" spans="1:1001" x14ac:dyDescent="0.25">
      <c r="A12" s="64" t="s">
        <v>34</v>
      </c>
      <c r="B12" s="65" t="s">
        <v>35</v>
      </c>
      <c r="C12" s="66">
        <f>SUM(F3*0.92)</f>
        <v>185.47200000000001</v>
      </c>
      <c r="D12" s="67"/>
      <c r="E12" s="67"/>
      <c r="F12" s="68"/>
      <c r="G12" s="69" t="s">
        <v>32</v>
      </c>
      <c r="H12" s="70">
        <f>SUM(F2*0.92)</f>
        <v>158.24</v>
      </c>
      <c r="I12" s="71"/>
      <c r="J12" s="71"/>
      <c r="K12" s="72"/>
      <c r="L12" s="53">
        <v>1</v>
      </c>
      <c r="M12" s="73" t="s">
        <v>17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</row>
    <row r="13" spans="1:1001" x14ac:dyDescent="0.25">
      <c r="A13" s="64" t="s">
        <v>36</v>
      </c>
      <c r="B13" s="65" t="s">
        <v>37</v>
      </c>
      <c r="C13" s="66">
        <f>SUM(F3/1.6)</f>
        <v>125.99999999999999</v>
      </c>
      <c r="D13" s="67"/>
      <c r="E13" s="67"/>
      <c r="F13" s="68"/>
      <c r="G13" s="69" t="s">
        <v>32</v>
      </c>
      <c r="H13" s="70">
        <f>SUM(F2*0.8)</f>
        <v>137.6</v>
      </c>
      <c r="I13" s="71"/>
      <c r="J13" s="71"/>
      <c r="K13" s="71"/>
      <c r="L13" s="74">
        <v>1</v>
      </c>
      <c r="M13" s="73" t="s">
        <v>17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</row>
    <row r="14" spans="1:1001" ht="15.75" thickBot="1" x14ac:dyDescent="0.3">
      <c r="A14" s="75" t="s">
        <v>38</v>
      </c>
      <c r="B14" s="76" t="s">
        <v>39</v>
      </c>
      <c r="C14" s="77">
        <f>SUM(F3/1.55)</f>
        <v>130.06451612903226</v>
      </c>
      <c r="D14" s="78"/>
      <c r="E14" s="78"/>
      <c r="F14" s="79"/>
      <c r="G14" s="80" t="s">
        <v>32</v>
      </c>
      <c r="H14" s="81">
        <f>SUM(F2*0.87)</f>
        <v>149.63999999999999</v>
      </c>
      <c r="I14" s="82"/>
      <c r="J14" s="82"/>
      <c r="K14" s="82"/>
      <c r="L14" s="74">
        <v>1</v>
      </c>
      <c r="M14" s="83" t="s">
        <v>17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</row>
    <row r="15" spans="1:1001" ht="15.75" thickBot="1" x14ac:dyDescent="0.3">
      <c r="A15" s="19" t="s">
        <v>40</v>
      </c>
      <c r="B15" s="84" t="s">
        <v>41</v>
      </c>
      <c r="C15" s="85" t="s">
        <v>42</v>
      </c>
      <c r="D15" s="22"/>
      <c r="E15" s="22"/>
      <c r="F15" s="86"/>
      <c r="G15" s="87" t="s">
        <v>10</v>
      </c>
      <c r="H15" s="25" t="s">
        <v>11</v>
      </c>
      <c r="I15" s="26"/>
      <c r="J15" s="26"/>
      <c r="K15" s="27"/>
      <c r="L15" s="88" t="s">
        <v>12</v>
      </c>
      <c r="M15" s="29" t="s">
        <v>13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</row>
    <row r="16" spans="1:1001" x14ac:dyDescent="0.25">
      <c r="A16" s="31" t="s">
        <v>43</v>
      </c>
      <c r="B16" s="89" t="s">
        <v>44</v>
      </c>
      <c r="C16" s="90">
        <f>SUM(F3*1.179)</f>
        <v>237.68639999999999</v>
      </c>
      <c r="D16" s="90">
        <f>SUM(F3/1.25)</f>
        <v>161.28</v>
      </c>
      <c r="E16" s="91"/>
      <c r="F16" s="92"/>
      <c r="G16" s="93" t="s">
        <v>45</v>
      </c>
      <c r="H16" s="94">
        <f>SUM(F2/1.02)</f>
        <v>168.62745098039215</v>
      </c>
      <c r="I16" s="94">
        <f>SUM(F2/1.073)</f>
        <v>160.29822926374652</v>
      </c>
      <c r="J16" s="95"/>
      <c r="K16" s="96"/>
      <c r="L16" s="97" t="s">
        <v>46</v>
      </c>
      <c r="M16" s="40" t="s">
        <v>17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</row>
    <row r="17" spans="1:1001" x14ac:dyDescent="0.25">
      <c r="A17" s="41" t="s">
        <v>47</v>
      </c>
      <c r="B17" s="98" t="s">
        <v>48</v>
      </c>
      <c r="C17" s="99">
        <f>SUM(F3/1.2)</f>
        <v>168</v>
      </c>
      <c r="D17" s="99">
        <f>SUM(F3/1.051)</f>
        <v>191.81731684110372</v>
      </c>
      <c r="E17" s="99">
        <f>SUM(F3/0.91)</f>
        <v>221.53846153846152</v>
      </c>
      <c r="F17" s="99">
        <f>SUM(F3/0.75)</f>
        <v>268.8</v>
      </c>
      <c r="G17" s="100" t="s">
        <v>49</v>
      </c>
      <c r="H17" s="101">
        <f>SUM(F2/1.25)</f>
        <v>137.6</v>
      </c>
      <c r="I17" s="101">
        <f>SUM(F2/1.111)</f>
        <v>154.81548154815482</v>
      </c>
      <c r="J17" s="101">
        <f>SUM(F2/1.073)</f>
        <v>160.29822926374652</v>
      </c>
      <c r="K17" s="101">
        <f>SUM(F2/1.02)</f>
        <v>168.62745098039215</v>
      </c>
      <c r="L17" s="102" t="s">
        <v>50</v>
      </c>
      <c r="M17" s="40" t="s">
        <v>17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</row>
    <row r="18" spans="1:1001" x14ac:dyDescent="0.25">
      <c r="A18" s="103" t="s">
        <v>51</v>
      </c>
      <c r="B18" s="98" t="s">
        <v>52</v>
      </c>
      <c r="C18" s="99">
        <f>SUM(F3/1.25)</f>
        <v>161.28</v>
      </c>
      <c r="D18" s="99">
        <f>SUM(F3/1.051)</f>
        <v>191.81731684110372</v>
      </c>
      <c r="E18" s="99">
        <f>SUM(F3/0.91)</f>
        <v>221.53846153846152</v>
      </c>
      <c r="F18" s="99">
        <f>SUM(F3/0.75)</f>
        <v>268.8</v>
      </c>
      <c r="G18" s="100" t="s">
        <v>49</v>
      </c>
      <c r="H18" s="101">
        <f>SUM(F2/1.25)</f>
        <v>137.6</v>
      </c>
      <c r="I18" s="101">
        <f>SUM(F2/1.111)</f>
        <v>154.81548154815482</v>
      </c>
      <c r="J18" s="101">
        <f>SUM(F2/1.073)</f>
        <v>160.29822926374652</v>
      </c>
      <c r="K18" s="101">
        <f>SUM(F2/1.02)</f>
        <v>168.62745098039215</v>
      </c>
      <c r="L18" s="102" t="s">
        <v>50</v>
      </c>
      <c r="M18" s="40" t="s">
        <v>17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</row>
    <row r="19" spans="1:1001" x14ac:dyDescent="0.25">
      <c r="A19" s="41" t="s">
        <v>53</v>
      </c>
      <c r="B19" s="98" t="s">
        <v>54</v>
      </c>
      <c r="C19" s="99">
        <f>SUM(F3/0.97)</f>
        <v>207.83505154639175</v>
      </c>
      <c r="D19" s="99">
        <f>SUM(F3/1.2)</f>
        <v>168</v>
      </c>
      <c r="E19" s="104"/>
      <c r="F19" s="105"/>
      <c r="G19" s="100" t="s">
        <v>55</v>
      </c>
      <c r="H19" s="101">
        <f>SUM(F2/1.02)</f>
        <v>168.62745098039215</v>
      </c>
      <c r="I19" s="101">
        <f>SUM(F2/1.055)</f>
        <v>163.03317535545025</v>
      </c>
      <c r="J19" s="106"/>
      <c r="K19" s="107"/>
      <c r="L19" s="102" t="s">
        <v>56</v>
      </c>
      <c r="M19" s="40" t="s">
        <v>17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</row>
    <row r="20" spans="1:1001" x14ac:dyDescent="0.25">
      <c r="A20" s="103" t="s">
        <v>57</v>
      </c>
      <c r="B20" s="98" t="s">
        <v>58</v>
      </c>
      <c r="C20" s="99">
        <f>SUM(F3/0.92)</f>
        <v>219.13043478260869</v>
      </c>
      <c r="D20" s="99">
        <f>SUM(F3/1.25)</f>
        <v>161.28</v>
      </c>
      <c r="E20" s="104"/>
      <c r="F20" s="105"/>
      <c r="G20" s="100" t="s">
        <v>59</v>
      </c>
      <c r="H20" s="101">
        <f>SUM(F2/1.02)</f>
        <v>168.62745098039215</v>
      </c>
      <c r="I20" s="101">
        <f>SUM(F2/1.055)</f>
        <v>163.03317535545025</v>
      </c>
      <c r="J20" s="106"/>
      <c r="K20" s="107"/>
      <c r="L20" s="102" t="s">
        <v>56</v>
      </c>
      <c r="M20" s="40" t="s">
        <v>17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</row>
    <row r="21" spans="1:1001" ht="15.75" thickBot="1" x14ac:dyDescent="0.3">
      <c r="A21" s="51" t="s">
        <v>60</v>
      </c>
      <c r="B21" s="108" t="s">
        <v>61</v>
      </c>
      <c r="C21" s="109">
        <f>SUM(F3/0.55)</f>
        <v>366.5454545454545</v>
      </c>
      <c r="D21" s="109">
        <f>SUM(F3/1.175)</f>
        <v>171.57446808510636</v>
      </c>
      <c r="E21" s="109">
        <f>SUM(F3/1.428)</f>
        <v>141.1764705882353</v>
      </c>
      <c r="F21" s="110"/>
      <c r="G21" s="111" t="s">
        <v>62</v>
      </c>
      <c r="H21" s="112">
        <f>SUM(F2/1.02)</f>
        <v>168.62745098039215</v>
      </c>
      <c r="I21" s="112">
        <f>SUM(F2/1.111)</f>
        <v>154.81548154815482</v>
      </c>
      <c r="J21" s="112">
        <f>SUM(F2/1.176)</f>
        <v>146.25850340136054</v>
      </c>
      <c r="K21" s="112"/>
      <c r="L21" s="113" t="s">
        <v>63</v>
      </c>
      <c r="M21" s="40" t="s">
        <v>17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</row>
    <row r="22" spans="1:1001" ht="15.75" thickBot="1" x14ac:dyDescent="0.3">
      <c r="A22" s="19" t="s">
        <v>64</v>
      </c>
      <c r="B22" s="84" t="s">
        <v>65</v>
      </c>
      <c r="C22" s="85" t="s">
        <v>42</v>
      </c>
      <c r="D22" s="22"/>
      <c r="E22" s="86"/>
      <c r="F22" s="114" t="s">
        <v>10</v>
      </c>
      <c r="G22" s="115"/>
      <c r="H22" s="25" t="s">
        <v>11</v>
      </c>
      <c r="I22" s="26"/>
      <c r="J22" s="26"/>
      <c r="K22" s="27"/>
      <c r="L22" s="88" t="s">
        <v>12</v>
      </c>
      <c r="M22" s="29" t="s">
        <v>13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</row>
    <row r="23" spans="1:1001" x14ac:dyDescent="0.25">
      <c r="A23" s="31" t="s">
        <v>66</v>
      </c>
      <c r="B23" s="32">
        <v>8</v>
      </c>
      <c r="C23" s="116">
        <f>SUM(F3*0.9)</f>
        <v>181.44</v>
      </c>
      <c r="D23" s="117"/>
      <c r="E23" s="118"/>
      <c r="F23" s="119">
        <v>115</v>
      </c>
      <c r="G23" s="120"/>
      <c r="H23" s="95">
        <f>SUM(F2/1.055)</f>
        <v>163.03317535545025</v>
      </c>
      <c r="I23" s="121"/>
      <c r="J23" s="121"/>
      <c r="K23" s="96"/>
      <c r="L23" s="122" t="s">
        <v>67</v>
      </c>
      <c r="M23" s="123" t="s">
        <v>68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</row>
    <row r="24" spans="1:1001" x14ac:dyDescent="0.25">
      <c r="A24" s="41" t="s">
        <v>69</v>
      </c>
      <c r="B24" s="42" t="s">
        <v>70</v>
      </c>
      <c r="C24" s="124">
        <f>SUM(F3*0.87)</f>
        <v>175.392</v>
      </c>
      <c r="D24" s="125"/>
      <c r="E24" s="126"/>
      <c r="F24" s="127">
        <v>125</v>
      </c>
      <c r="G24" s="128"/>
      <c r="H24" s="106">
        <f>SUM(F2/1.055)</f>
        <v>163.03317535545025</v>
      </c>
      <c r="I24" s="129"/>
      <c r="J24" s="129"/>
      <c r="K24" s="107"/>
      <c r="L24" s="130" t="s">
        <v>67</v>
      </c>
      <c r="M24" s="131" t="s">
        <v>68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</row>
    <row r="25" spans="1:1001" x14ac:dyDescent="0.25">
      <c r="A25" s="103" t="s">
        <v>71</v>
      </c>
      <c r="B25" s="42" t="s">
        <v>72</v>
      </c>
      <c r="C25" s="124">
        <f>SUM(F3/0.8)</f>
        <v>251.99999999999997</v>
      </c>
      <c r="D25" s="126"/>
      <c r="E25" s="99">
        <f>SUM(F3/1.135)</f>
        <v>177.62114537444933</v>
      </c>
      <c r="F25" s="100">
        <v>45</v>
      </c>
      <c r="G25" s="100">
        <v>100</v>
      </c>
      <c r="H25" s="101">
        <f>SUM(F2/1.055)</f>
        <v>163.03317535545025</v>
      </c>
      <c r="I25" s="101">
        <f>SUM(F2/1.111)</f>
        <v>154.81548154815482</v>
      </c>
      <c r="J25" s="106"/>
      <c r="K25" s="107"/>
      <c r="L25" s="102" t="s">
        <v>67</v>
      </c>
      <c r="M25" s="131" t="s">
        <v>68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</row>
    <row r="26" spans="1:1001" x14ac:dyDescent="0.25">
      <c r="A26" s="41" t="s">
        <v>73</v>
      </c>
      <c r="B26" s="42" t="s">
        <v>74</v>
      </c>
      <c r="C26" s="132">
        <f>SUM(F3/1.25)</f>
        <v>161.28</v>
      </c>
      <c r="D26" s="133"/>
      <c r="E26" s="134">
        <f>SUM(F3)</f>
        <v>201.6</v>
      </c>
      <c r="F26" s="100">
        <v>120</v>
      </c>
      <c r="G26" s="100">
        <v>50</v>
      </c>
      <c r="H26" s="101">
        <f>SUM(F2/1.055)</f>
        <v>163.03317535545025</v>
      </c>
      <c r="I26" s="101">
        <f>SUM(F2/1.055)</f>
        <v>163.03317535545025</v>
      </c>
      <c r="J26" s="106"/>
      <c r="K26" s="107"/>
      <c r="L26" s="102" t="s">
        <v>67</v>
      </c>
      <c r="M26" s="131" t="s">
        <v>17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</row>
    <row r="27" spans="1:1001" ht="15.75" customHeight="1" x14ac:dyDescent="0.25">
      <c r="A27" s="103" t="s">
        <v>75</v>
      </c>
      <c r="B27" s="42" t="s">
        <v>76</v>
      </c>
      <c r="C27" s="135" t="s">
        <v>77</v>
      </c>
      <c r="D27" s="136"/>
      <c r="E27" s="137">
        <f>SUM(F2*0.94)</f>
        <v>161.67999999999998</v>
      </c>
      <c r="F27" s="127" t="s">
        <v>78</v>
      </c>
      <c r="G27" s="128"/>
      <c r="H27" s="106">
        <f>SUM(F2*0.94)</f>
        <v>161.67999999999998</v>
      </c>
      <c r="I27" s="129"/>
      <c r="J27" s="129"/>
      <c r="K27" s="107"/>
      <c r="L27" s="130">
        <v>1</v>
      </c>
      <c r="M27" s="131" t="s">
        <v>79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</row>
    <row r="28" spans="1:1001" ht="15.75" thickBot="1" x14ac:dyDescent="0.3">
      <c r="A28" s="51" t="s">
        <v>80</v>
      </c>
      <c r="B28" s="138" t="s">
        <v>81</v>
      </c>
      <c r="C28" s="139">
        <f>SUM(F3/2)</f>
        <v>100.8</v>
      </c>
      <c r="D28" s="140"/>
      <c r="E28" s="141">
        <f>SUM(F3/2)</f>
        <v>100.8</v>
      </c>
      <c r="F28" s="111">
        <v>70</v>
      </c>
      <c r="G28" s="111">
        <v>70</v>
      </c>
      <c r="H28" s="112">
        <f>SUM(F2*0.98)</f>
        <v>168.56</v>
      </c>
      <c r="I28" s="112">
        <f>SUM(F2*0.98)</f>
        <v>168.56</v>
      </c>
      <c r="J28" s="142"/>
      <c r="K28" s="143"/>
      <c r="L28" s="113" t="s">
        <v>50</v>
      </c>
      <c r="M28" s="131" t="s">
        <v>79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</row>
    <row r="29" spans="1:1001" ht="15.75" customHeight="1" thickBot="1" x14ac:dyDescent="0.3">
      <c r="A29" s="19" t="s">
        <v>82</v>
      </c>
      <c r="B29" s="84" t="s">
        <v>83</v>
      </c>
      <c r="C29" s="85" t="s">
        <v>42</v>
      </c>
      <c r="D29" s="22"/>
      <c r="E29" s="86"/>
      <c r="F29" s="114" t="s">
        <v>10</v>
      </c>
      <c r="G29" s="115"/>
      <c r="H29" s="25" t="s">
        <v>11</v>
      </c>
      <c r="I29" s="26"/>
      <c r="J29" s="26"/>
      <c r="K29" s="27"/>
      <c r="L29" s="88" t="s">
        <v>12</v>
      </c>
      <c r="M29" s="29" t="s">
        <v>13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</row>
    <row r="30" spans="1:1001" x14ac:dyDescent="0.25">
      <c r="A30" s="31" t="s">
        <v>84</v>
      </c>
      <c r="B30" s="89" t="s">
        <v>85</v>
      </c>
      <c r="C30" s="224">
        <f>SUM(F3*2)</f>
        <v>403.2</v>
      </c>
      <c r="D30" s="226"/>
      <c r="E30" s="225"/>
      <c r="F30" s="119">
        <v>110</v>
      </c>
      <c r="G30" s="120"/>
      <c r="H30" s="95">
        <f>SUM(F2*1.05)</f>
        <v>180.6</v>
      </c>
      <c r="I30" s="121"/>
      <c r="J30" s="121"/>
      <c r="K30" s="96"/>
      <c r="L30" s="122" t="s">
        <v>63</v>
      </c>
      <c r="M30" s="40" t="s">
        <v>86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</row>
    <row r="31" spans="1:1001" x14ac:dyDescent="0.25">
      <c r="A31" s="51" t="s">
        <v>87</v>
      </c>
      <c r="B31" s="108" t="s">
        <v>88</v>
      </c>
      <c r="C31" s="144">
        <f>SUM(F3*2.855)</f>
        <v>575.56799999999998</v>
      </c>
      <c r="D31" s="144"/>
      <c r="E31" s="144"/>
      <c r="F31" s="145">
        <v>125</v>
      </c>
      <c r="G31" s="145"/>
      <c r="H31" s="146">
        <f>SUM(F2*1.05)</f>
        <v>180.6</v>
      </c>
      <c r="I31" s="146"/>
      <c r="J31" s="146"/>
      <c r="K31" s="146"/>
      <c r="L31" s="147" t="s">
        <v>89</v>
      </c>
      <c r="M31" s="131" t="s">
        <v>90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</row>
    <row r="32" spans="1:1001" ht="15.75" thickBot="1" x14ac:dyDescent="0.3">
      <c r="A32" s="51" t="s">
        <v>91</v>
      </c>
      <c r="B32" s="148" t="s">
        <v>92</v>
      </c>
      <c r="C32" s="149">
        <f>SUM(C3*0.94)</f>
        <v>263.2</v>
      </c>
      <c r="D32" s="149"/>
      <c r="E32" s="149"/>
      <c r="F32" s="150">
        <v>100</v>
      </c>
      <c r="G32" s="150"/>
      <c r="H32" s="146">
        <f>SUM(F2*1.05)</f>
        <v>180.6</v>
      </c>
      <c r="I32" s="146"/>
      <c r="J32" s="146"/>
      <c r="K32" s="146"/>
      <c r="L32" s="151" t="s">
        <v>93</v>
      </c>
      <c r="M32" s="152" t="s">
        <v>94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</row>
    <row r="33" spans="1:1001" ht="15.75" thickBot="1" x14ac:dyDescent="0.3">
      <c r="A33" s="19" t="s">
        <v>95</v>
      </c>
      <c r="B33" s="84" t="s">
        <v>65</v>
      </c>
      <c r="C33" s="85" t="s">
        <v>42</v>
      </c>
      <c r="D33" s="22"/>
      <c r="E33" s="86"/>
      <c r="F33" s="114" t="s">
        <v>10</v>
      </c>
      <c r="G33" s="115"/>
      <c r="H33" s="25" t="s">
        <v>11</v>
      </c>
      <c r="I33" s="26"/>
      <c r="J33" s="26"/>
      <c r="K33" s="27"/>
      <c r="L33" s="88" t="s">
        <v>12</v>
      </c>
      <c r="M33" s="29" t="s">
        <v>13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</row>
    <row r="34" spans="1:1001" x14ac:dyDescent="0.25">
      <c r="A34" s="31" t="s">
        <v>96</v>
      </c>
      <c r="B34" s="89">
        <v>2</v>
      </c>
      <c r="C34" s="153">
        <f>SUM(F3*1.1)</f>
        <v>221.76000000000002</v>
      </c>
      <c r="D34" s="153"/>
      <c r="E34" s="153"/>
      <c r="F34" s="154" t="s">
        <v>97</v>
      </c>
      <c r="G34" s="155"/>
      <c r="H34" s="95">
        <f>SUM(F2*0.95)</f>
        <v>163.4</v>
      </c>
      <c r="I34" s="121"/>
      <c r="J34" s="121"/>
      <c r="K34" s="96"/>
      <c r="L34" s="156" t="s">
        <v>98</v>
      </c>
      <c r="M34" s="40" t="s">
        <v>68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</row>
    <row r="35" spans="1:1001" ht="15" customHeight="1" x14ac:dyDescent="0.25">
      <c r="A35" s="41" t="s">
        <v>99</v>
      </c>
      <c r="B35" s="98">
        <v>20</v>
      </c>
      <c r="C35" s="157">
        <f>SUM(F3*0.93)</f>
        <v>187.488</v>
      </c>
      <c r="D35" s="157"/>
      <c r="E35" s="157"/>
      <c r="F35" s="158" t="s">
        <v>100</v>
      </c>
      <c r="G35" s="159"/>
      <c r="H35" s="106">
        <f>SUM(F2*0.95)</f>
        <v>163.4</v>
      </c>
      <c r="I35" s="129"/>
      <c r="J35" s="129"/>
      <c r="K35" s="107"/>
      <c r="L35" s="160" t="s">
        <v>101</v>
      </c>
      <c r="M35" s="131" t="s">
        <v>90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</row>
    <row r="36" spans="1:1001" ht="15.75" customHeight="1" x14ac:dyDescent="0.25">
      <c r="A36" s="41" t="s">
        <v>102</v>
      </c>
      <c r="B36" s="98">
        <v>20</v>
      </c>
      <c r="C36" s="161">
        <f>SUM(F3*0.9)</f>
        <v>181.44</v>
      </c>
      <c r="D36" s="161"/>
      <c r="E36" s="161"/>
      <c r="F36" s="158" t="s">
        <v>103</v>
      </c>
      <c r="G36" s="159"/>
      <c r="H36" s="106">
        <f>SUM(F2*0.95)</f>
        <v>163.4</v>
      </c>
      <c r="I36" s="129"/>
      <c r="J36" s="129"/>
      <c r="K36" s="107"/>
      <c r="L36" s="160" t="s">
        <v>101</v>
      </c>
      <c r="M36" s="131" t="s">
        <v>90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</row>
    <row r="37" spans="1:1001" ht="15.75" customHeight="1" x14ac:dyDescent="0.25">
      <c r="A37" s="54" t="s">
        <v>104</v>
      </c>
      <c r="B37" s="162">
        <v>5</v>
      </c>
      <c r="C37" s="163">
        <f>SUM(F3*1.05)</f>
        <v>211.68</v>
      </c>
      <c r="D37" s="163"/>
      <c r="E37" s="163"/>
      <c r="F37" s="164" t="s">
        <v>103</v>
      </c>
      <c r="G37" s="164"/>
      <c r="H37" s="165">
        <f>SUM(F2*0.95)</f>
        <v>163.4</v>
      </c>
      <c r="I37" s="165"/>
      <c r="J37" s="165"/>
      <c r="K37" s="165"/>
      <c r="L37" s="166" t="s">
        <v>50</v>
      </c>
      <c r="M37" s="63" t="s">
        <v>68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</row>
    <row r="38" spans="1:1001" ht="15.75" customHeight="1" thickBot="1" x14ac:dyDescent="0.3">
      <c r="A38" s="75" t="s">
        <v>105</v>
      </c>
      <c r="B38" s="167" t="s">
        <v>106</v>
      </c>
      <c r="C38" s="168">
        <f>SUM(G2*4)</f>
        <v>300</v>
      </c>
      <c r="D38" s="169"/>
      <c r="E38" s="170"/>
      <c r="F38" s="171" t="s">
        <v>107</v>
      </c>
      <c r="G38" s="172"/>
      <c r="H38" s="173">
        <f>SUM(F2)</f>
        <v>172</v>
      </c>
      <c r="I38" s="174"/>
      <c r="J38" s="174"/>
      <c r="K38" s="175"/>
      <c r="L38" s="176" t="s">
        <v>108</v>
      </c>
      <c r="M38" s="83" t="s">
        <v>109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</row>
    <row r="39" spans="1:1001" ht="15" customHeight="1" thickBot="1" x14ac:dyDescent="0.3">
      <c r="A39" s="19" t="s">
        <v>110</v>
      </c>
      <c r="B39" s="84" t="s">
        <v>65</v>
      </c>
      <c r="C39" s="85" t="s">
        <v>42</v>
      </c>
      <c r="D39" s="22"/>
      <c r="E39" s="86"/>
      <c r="F39" s="114" t="s">
        <v>10</v>
      </c>
      <c r="G39" s="115"/>
      <c r="H39" s="25" t="s">
        <v>11</v>
      </c>
      <c r="I39" s="26"/>
      <c r="J39" s="26"/>
      <c r="K39" s="27"/>
      <c r="L39" s="88" t="s">
        <v>12</v>
      </c>
      <c r="M39" s="29" t="s">
        <v>13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</row>
    <row r="40" spans="1:1001" ht="15" customHeight="1" x14ac:dyDescent="0.25">
      <c r="A40" s="177" t="s">
        <v>111</v>
      </c>
      <c r="B40" s="178" t="s">
        <v>112</v>
      </c>
      <c r="C40" s="179">
        <f>SUM(F3*1)</f>
        <v>201.6</v>
      </c>
      <c r="D40" s="180"/>
      <c r="E40" s="181">
        <f>SUM(F3/1.1)</f>
        <v>183.27272727272725</v>
      </c>
      <c r="F40" s="182" t="s">
        <v>113</v>
      </c>
      <c r="G40" s="182" t="s">
        <v>114</v>
      </c>
      <c r="H40" s="183">
        <f>SUM(F2*0.95)</f>
        <v>163.4</v>
      </c>
      <c r="I40" s="183"/>
      <c r="J40" s="183">
        <f>SUM(F2*0.95)</f>
        <v>163.4</v>
      </c>
      <c r="K40" s="183"/>
      <c r="L40" s="184" t="s">
        <v>115</v>
      </c>
      <c r="M40" s="185" t="s">
        <v>17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</row>
    <row r="41" spans="1:1001" ht="15.75" customHeight="1" x14ac:dyDescent="0.25">
      <c r="A41" s="31" t="s">
        <v>116</v>
      </c>
      <c r="B41" s="89" t="s">
        <v>117</v>
      </c>
      <c r="C41" s="186">
        <f>SUM(F3*1.11)</f>
        <v>223.77600000000001</v>
      </c>
      <c r="D41" s="187"/>
      <c r="E41" s="90">
        <f>SUM(F3/1.4)</f>
        <v>144</v>
      </c>
      <c r="F41" s="188" t="s">
        <v>118</v>
      </c>
      <c r="G41" s="188" t="s">
        <v>107</v>
      </c>
      <c r="H41" s="189">
        <f>SUM(F2*0.95)</f>
        <v>163.4</v>
      </c>
      <c r="I41" s="190"/>
      <c r="J41" s="190">
        <f>SUM(F2*0.95)</f>
        <v>163.4</v>
      </c>
      <c r="K41" s="191"/>
      <c r="L41" s="192" t="s">
        <v>119</v>
      </c>
      <c r="M41" s="40" t="s">
        <v>79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</row>
    <row r="42" spans="1:1001" ht="15.75" customHeight="1" thickBot="1" x14ac:dyDescent="0.3">
      <c r="A42" s="51" t="s">
        <v>120</v>
      </c>
      <c r="B42" s="193" t="s">
        <v>117</v>
      </c>
      <c r="C42" s="194">
        <f>SUM(F3)</f>
        <v>201.6</v>
      </c>
      <c r="D42" s="195"/>
      <c r="E42" s="109">
        <f>SUM(F3/1.09)</f>
        <v>184.95412844036696</v>
      </c>
      <c r="F42" s="196" t="s">
        <v>121</v>
      </c>
      <c r="G42" s="196" t="s">
        <v>118</v>
      </c>
      <c r="H42" s="197">
        <f>SUM(F2*0.95)</f>
        <v>163.4</v>
      </c>
      <c r="I42" s="198"/>
      <c r="J42" s="198">
        <f>SUM(F2*0.95)</f>
        <v>163.4</v>
      </c>
      <c r="K42" s="199"/>
      <c r="L42" s="200" t="s">
        <v>119</v>
      </c>
      <c r="M42" s="40" t="s">
        <v>79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</row>
    <row r="43" spans="1:1001" ht="15" customHeight="1" thickBot="1" x14ac:dyDescent="0.3">
      <c r="A43" s="19" t="s">
        <v>122</v>
      </c>
      <c r="B43" s="84" t="s">
        <v>65</v>
      </c>
      <c r="C43" s="85" t="s">
        <v>42</v>
      </c>
      <c r="D43" s="22"/>
      <c r="E43" s="86"/>
      <c r="F43" s="114" t="s">
        <v>10</v>
      </c>
      <c r="G43" s="115"/>
      <c r="H43" s="25" t="s">
        <v>11</v>
      </c>
      <c r="I43" s="26"/>
      <c r="J43" s="26"/>
      <c r="K43" s="27"/>
      <c r="L43" s="88" t="s">
        <v>12</v>
      </c>
      <c r="M43" s="29" t="s">
        <v>13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</row>
    <row r="44" spans="1:1001" ht="15.75" customHeight="1" x14ac:dyDescent="0.25">
      <c r="A44" s="201" t="s">
        <v>123</v>
      </c>
      <c r="B44" s="89" t="s">
        <v>124</v>
      </c>
      <c r="C44" s="90">
        <f>SUM(F3*1.65)</f>
        <v>332.64</v>
      </c>
      <c r="D44" s="116">
        <f>SUM(F3/1.135)</f>
        <v>177.62114537444933</v>
      </c>
      <c r="E44" s="118"/>
      <c r="F44" s="93">
        <v>75</v>
      </c>
      <c r="G44" s="93">
        <v>95</v>
      </c>
      <c r="H44" s="94">
        <f>SUM(F2*1.05)</f>
        <v>180.6</v>
      </c>
      <c r="I44" s="95">
        <f>SUM('[1]pulsFormel-D'!C35)</f>
        <v>129</v>
      </c>
      <c r="J44" s="121"/>
      <c r="K44" s="96"/>
      <c r="L44" s="97" t="s">
        <v>125</v>
      </c>
      <c r="M44" s="40" t="s">
        <v>68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</row>
    <row r="45" spans="1:1001" ht="15.75" customHeight="1" thickBot="1" x14ac:dyDescent="0.3">
      <c r="A45" s="202" t="s">
        <v>126</v>
      </c>
      <c r="B45" s="108" t="s">
        <v>127</v>
      </c>
      <c r="C45" s="109">
        <f>SUM(F3/1.4)</f>
        <v>144</v>
      </c>
      <c r="D45" s="203">
        <f>SUM(F3/1.1)</f>
        <v>183.27272727272725</v>
      </c>
      <c r="E45" s="204"/>
      <c r="F45" s="111">
        <v>120</v>
      </c>
      <c r="G45" s="111">
        <v>45</v>
      </c>
      <c r="H45" s="112">
        <f>SUM(F2*0.97)</f>
        <v>166.84</v>
      </c>
      <c r="I45" s="142">
        <f>SUM(F2*0.95)</f>
        <v>163.4</v>
      </c>
      <c r="J45" s="205"/>
      <c r="K45" s="143"/>
      <c r="L45" s="113" t="s">
        <v>128</v>
      </c>
      <c r="M45" s="206" t="s">
        <v>109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</row>
    <row r="46" spans="1:1001" ht="15" customHeight="1" thickBot="1" x14ac:dyDescent="0.3">
      <c r="A46" s="19" t="s">
        <v>129</v>
      </c>
      <c r="B46" s="84" t="s">
        <v>65</v>
      </c>
      <c r="C46" s="85" t="s">
        <v>42</v>
      </c>
      <c r="D46" s="22"/>
      <c r="E46" s="86"/>
      <c r="F46" s="114" t="s">
        <v>10</v>
      </c>
      <c r="G46" s="115"/>
      <c r="H46" s="25" t="s">
        <v>11</v>
      </c>
      <c r="I46" s="26"/>
      <c r="J46" s="26"/>
      <c r="K46" s="27"/>
      <c r="L46" s="88" t="s">
        <v>12</v>
      </c>
      <c r="M46" s="29" t="s">
        <v>13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</row>
    <row r="47" spans="1:1001" ht="15" customHeight="1" x14ac:dyDescent="0.25">
      <c r="A47" s="201" t="s">
        <v>130</v>
      </c>
      <c r="B47" s="89" t="s">
        <v>131</v>
      </c>
      <c r="C47" s="90">
        <f>SUM(F3/2)</f>
        <v>100.8</v>
      </c>
      <c r="D47" s="224">
        <f>SUM(F3*4)</f>
        <v>806.4</v>
      </c>
      <c r="E47" s="225"/>
      <c r="F47" s="93">
        <v>135</v>
      </c>
      <c r="G47" s="93">
        <v>90</v>
      </c>
      <c r="H47" s="94">
        <f>SUM(F2*0.8)</f>
        <v>137.6</v>
      </c>
      <c r="I47" s="95">
        <f>SUM(F2*1)</f>
        <v>172</v>
      </c>
      <c r="J47" s="121"/>
      <c r="K47" s="96"/>
      <c r="L47" s="97">
        <v>40</v>
      </c>
      <c r="M47" s="40" t="s">
        <v>79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</row>
    <row r="48" spans="1:1001" ht="15.75" customHeight="1" x14ac:dyDescent="0.25">
      <c r="A48" s="207" t="s">
        <v>132</v>
      </c>
      <c r="B48" s="98" t="s">
        <v>133</v>
      </c>
      <c r="C48" s="99">
        <f>SUM(F3/2)</f>
        <v>100.8</v>
      </c>
      <c r="D48" s="132">
        <f>SUM(F3*3)</f>
        <v>604.79999999999995</v>
      </c>
      <c r="E48" s="133"/>
      <c r="F48" s="100">
        <v>135</v>
      </c>
      <c r="G48" s="100">
        <v>90</v>
      </c>
      <c r="H48" s="94">
        <f>SUM(F2*0.8)</f>
        <v>137.6</v>
      </c>
      <c r="I48" s="106">
        <f>SUM(F2*1.02)</f>
        <v>175.44</v>
      </c>
      <c r="J48" s="129"/>
      <c r="K48" s="107"/>
      <c r="L48" s="102">
        <v>20</v>
      </c>
      <c r="M48" s="40" t="s">
        <v>79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</row>
    <row r="49" spans="1:1001" ht="15" customHeight="1" thickBot="1" x14ac:dyDescent="0.3">
      <c r="A49" s="208" t="s">
        <v>134</v>
      </c>
      <c r="B49" s="209" t="s">
        <v>135</v>
      </c>
      <c r="C49" s="139">
        <f>SUM(F3/1.3)</f>
        <v>155.07692307692307</v>
      </c>
      <c r="D49" s="210"/>
      <c r="E49" s="140"/>
      <c r="F49" s="211">
        <v>135</v>
      </c>
      <c r="G49" s="212"/>
      <c r="H49" s="142">
        <f>SUM(F2*1)</f>
        <v>172</v>
      </c>
      <c r="I49" s="205"/>
      <c r="J49" s="205"/>
      <c r="K49" s="143"/>
      <c r="L49" s="213" t="s">
        <v>136</v>
      </c>
      <c r="M49" s="152" t="s">
        <v>137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</row>
    <row r="50" spans="1:1001" ht="15" customHeight="1" x14ac:dyDescent="0.25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</row>
    <row r="51" spans="1:1001" ht="15" customHeight="1" x14ac:dyDescent="0.25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</row>
    <row r="52" spans="1:1001" ht="15" customHeight="1" x14ac:dyDescent="0.2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</row>
    <row r="53" spans="1:1001" ht="15" customHeight="1" x14ac:dyDescent="0.2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</row>
    <row r="56" spans="1:1001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</row>
    <row r="57" spans="1:1001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</row>
    <row r="58" spans="1:1001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</row>
    <row r="59" spans="1:1001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</row>
    <row r="60" spans="1:1001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</row>
    <row r="61" spans="1:1001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</row>
    <row r="62" spans="1:1001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</row>
    <row r="63" spans="1:1001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</row>
    <row r="64" spans="1:1001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</row>
    <row r="65" spans="1:1001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</row>
    <row r="66" spans="1:1001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</row>
    <row r="67" spans="1:1001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</row>
    <row r="68" spans="1:1001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</row>
    <row r="69" spans="1:1001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</row>
    <row r="70" spans="1:1001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</row>
    <row r="71" spans="1:1001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</row>
    <row r="72" spans="1:1001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</row>
  </sheetData>
  <sheetProtection password="AE4F" sheet="1" objects="1" scenarios="1"/>
  <mergeCells count="115">
    <mergeCell ref="D47:E47"/>
    <mergeCell ref="I47:K47"/>
    <mergeCell ref="D48:E48"/>
    <mergeCell ref="I48:K48"/>
    <mergeCell ref="C49:E49"/>
    <mergeCell ref="F49:G49"/>
    <mergeCell ref="H49:K49"/>
    <mergeCell ref="D44:E44"/>
    <mergeCell ref="I44:K44"/>
    <mergeCell ref="D45:E45"/>
    <mergeCell ref="I45:K45"/>
    <mergeCell ref="C46:E46"/>
    <mergeCell ref="F46:G46"/>
    <mergeCell ref="H46:K46"/>
    <mergeCell ref="C42:D42"/>
    <mergeCell ref="H42:I42"/>
    <mergeCell ref="J42:K42"/>
    <mergeCell ref="C43:E43"/>
    <mergeCell ref="F43:G43"/>
    <mergeCell ref="H43:K43"/>
    <mergeCell ref="C40:D40"/>
    <mergeCell ref="H40:I40"/>
    <mergeCell ref="J40:K40"/>
    <mergeCell ref="C41:D41"/>
    <mergeCell ref="H41:I41"/>
    <mergeCell ref="J41:K41"/>
    <mergeCell ref="C38:E38"/>
    <mergeCell ref="F38:G38"/>
    <mergeCell ref="H38:K38"/>
    <mergeCell ref="C39:E39"/>
    <mergeCell ref="F39:G39"/>
    <mergeCell ref="H39:K39"/>
    <mergeCell ref="C36:E36"/>
    <mergeCell ref="F36:G36"/>
    <mergeCell ref="H36:K36"/>
    <mergeCell ref="C37:E37"/>
    <mergeCell ref="F37:G37"/>
    <mergeCell ref="H37:K37"/>
    <mergeCell ref="C34:E34"/>
    <mergeCell ref="F34:G34"/>
    <mergeCell ref="H34:K34"/>
    <mergeCell ref="C35:E35"/>
    <mergeCell ref="F35:G35"/>
    <mergeCell ref="H35:K35"/>
    <mergeCell ref="C32:E32"/>
    <mergeCell ref="F32:G32"/>
    <mergeCell ref="H32:K32"/>
    <mergeCell ref="C33:E33"/>
    <mergeCell ref="F33:G33"/>
    <mergeCell ref="H33:K33"/>
    <mergeCell ref="C30:E30"/>
    <mergeCell ref="F30:G30"/>
    <mergeCell ref="H30:K30"/>
    <mergeCell ref="C31:E31"/>
    <mergeCell ref="F31:G31"/>
    <mergeCell ref="H31:K31"/>
    <mergeCell ref="C27:D27"/>
    <mergeCell ref="F27:G27"/>
    <mergeCell ref="H27:K27"/>
    <mergeCell ref="C28:D28"/>
    <mergeCell ref="J28:K28"/>
    <mergeCell ref="C29:E29"/>
    <mergeCell ref="F29:G29"/>
    <mergeCell ref="H29:K29"/>
    <mergeCell ref="C24:E24"/>
    <mergeCell ref="F24:G24"/>
    <mergeCell ref="H24:K24"/>
    <mergeCell ref="C25:D25"/>
    <mergeCell ref="J25:K25"/>
    <mergeCell ref="C26:D26"/>
    <mergeCell ref="J26:K26"/>
    <mergeCell ref="C22:E22"/>
    <mergeCell ref="F22:G22"/>
    <mergeCell ref="H22:K22"/>
    <mergeCell ref="C23:E23"/>
    <mergeCell ref="F23:G23"/>
    <mergeCell ref="H23:K23"/>
    <mergeCell ref="E16:F16"/>
    <mergeCell ref="J16:K16"/>
    <mergeCell ref="E19:F19"/>
    <mergeCell ref="J19:K19"/>
    <mergeCell ref="E20:F20"/>
    <mergeCell ref="J20:K20"/>
    <mergeCell ref="C13:F13"/>
    <mergeCell ref="H13:K13"/>
    <mergeCell ref="C14:F14"/>
    <mergeCell ref="H14:K14"/>
    <mergeCell ref="C15:F15"/>
    <mergeCell ref="H15:K15"/>
    <mergeCell ref="D10:F10"/>
    <mergeCell ref="H10:I10"/>
    <mergeCell ref="J10:K10"/>
    <mergeCell ref="C11:F11"/>
    <mergeCell ref="H11:K11"/>
    <mergeCell ref="C12:F12"/>
    <mergeCell ref="H12:K12"/>
    <mergeCell ref="D8:F8"/>
    <mergeCell ref="H8:I8"/>
    <mergeCell ref="J8:K8"/>
    <mergeCell ref="D9:F9"/>
    <mergeCell ref="H9:I9"/>
    <mergeCell ref="J9:K9"/>
    <mergeCell ref="D6:F6"/>
    <mergeCell ref="H6:I6"/>
    <mergeCell ref="J6:K6"/>
    <mergeCell ref="D7:F7"/>
    <mergeCell ref="H7:I7"/>
    <mergeCell ref="J7:K7"/>
    <mergeCell ref="A1:B1"/>
    <mergeCell ref="A2:B2"/>
    <mergeCell ref="A3:B3"/>
    <mergeCell ref="A4:B4"/>
    <mergeCell ref="D5:F5"/>
    <mergeCell ref="H5:K5"/>
    <mergeCell ref="H1:M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Triathloncoach Roy Hinnen</dc:creator>
  <cp:lastModifiedBy>Triathloncoach Roy Hinnen</cp:lastModifiedBy>
  <dcterms:created xsi:type="dcterms:W3CDTF">2018-02-14T07:54:11Z</dcterms:created>
  <dcterms:modified xsi:type="dcterms:W3CDTF">2018-02-14T08:24:40Z</dcterms:modified>
</cp:coreProperties>
</file>